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7.xml" ContentType="application/vnd.openxmlformats-officedocument.drawing+xml"/>
  <Override PartName="/xl/comments7.xml" ContentType="application/vnd.openxmlformats-officedocument.spreadsheetml.comments+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showObjects="placeholders" codeName="ThisWorkbook"/>
  <mc:AlternateContent xmlns:mc="http://schemas.openxmlformats.org/markup-compatibility/2006">
    <mc:Choice Requires="x15">
      <x15ac:absPath xmlns:x15ac="http://schemas.microsoft.com/office/spreadsheetml/2010/11/ac" url="C:\Users\kb-macbook\Desktop\20200706（日本コミュニティガス協会・テスト）\"/>
    </mc:Choice>
  </mc:AlternateContent>
  <xr:revisionPtr revIDLastSave="0" documentId="13_ncr:1_{3E2AB531-C9DE-472C-963F-554305B3F7D3}" xr6:coauthVersionLast="44" xr6:coauthVersionMax="44" xr10:uidLastSave="{00000000-0000-0000-0000-000000000000}"/>
  <bookViews>
    <workbookView xWindow="-28910" yWindow="1810" windowWidth="29020" windowHeight="15820" tabRatio="876" xr2:uid="{00000000-000D-0000-FFFF-FFFF00000000}"/>
  </bookViews>
  <sheets>
    <sheet name="基本入力" sheetId="1" r:id="rId1"/>
    <sheet name="約款料金" sheetId="2" r:id="rId2"/>
    <sheet name="販売量ﾃﾞｰﾀ" sheetId="3" r:id="rId3"/>
    <sheet name="設定申請書鑑" sheetId="19" r:id="rId4"/>
    <sheet name="変更申請書鑑（理由書入力あり）" sheetId="31" r:id="rId5"/>
    <sheet name="変更内容（入力あり）" sheetId="32" r:id="rId6"/>
    <sheet name="説明書" sheetId="6" r:id="rId7"/>
    <sheet name="投資額" sheetId="5" r:id="rId8"/>
    <sheet name="総括表" sheetId="4" r:id="rId9"/>
    <sheet name="展開" sheetId="9" r:id="rId10"/>
    <sheet name="料金収入比較" sheetId="17" r:id="rId11"/>
    <sheet name="原料購入単価（入力あり）" sheetId="35" r:id="rId12"/>
    <sheet name="Sheet1" sheetId="34" state="hidden" r:id="rId13"/>
    <sheet name="参考資料" sheetId="10" r:id="rId14"/>
    <sheet name="減価償却" sheetId="27" r:id="rId15"/>
    <sheet name="建物他明細" sheetId="30" r:id="rId16"/>
    <sheet name="課税標準額" sheetId="33" state="hidden" r:id="rId17"/>
    <sheet name="導管明細" sheetId="28" r:id="rId18"/>
    <sheet name="車両明細" sheetId="29" r:id="rId19"/>
    <sheet name="その他経費明細（ﾘｰｽ時のみ）" sheetId="36" r:id="rId20"/>
    <sheet name="料金表(税抜)" sheetId="22" r:id="rId21"/>
    <sheet name="料金表(税込)" sheetId="23" r:id="rId22"/>
    <sheet name="料金表(総額表示対応)" sheetId="25" r:id="rId23"/>
    <sheet name="参考料金（入力あり）" sheetId="26" r:id="rId24"/>
    <sheet name="機能別" sheetId="8" r:id="rId25"/>
    <sheet name="係数" sheetId="11" r:id="rId26"/>
    <sheet name="引下原資整理表（届出上限値方式）" sheetId="18" r:id="rId27"/>
    <sheet name="引下原資整理表（総括原価方式）" sheetId="20" r:id="rId28"/>
    <sheet name="設備設置年表（改訂）" sheetId="15" state="hidden" r:id="rId29"/>
  </sheets>
  <definedNames>
    <definedName name="_xlnm.Print_Area" localSheetId="19">'その他経費明細（ﾘｰｽ時のみ）'!$B$4:$H$39</definedName>
    <definedName name="_xlnm.Print_Area" localSheetId="27">'引下原資整理表（総括原価方式）'!$A$1:$E$20</definedName>
    <definedName name="_xlnm.Print_Area" localSheetId="26">'引下原資整理表（届出上限値方式）'!$A$1:$E$23</definedName>
    <definedName name="_xlnm.Print_Area" localSheetId="16">課税標準額!$B$3:$G$18</definedName>
    <definedName name="_xlnm.Print_Area" localSheetId="0">基本入力!$A$1:$AD$61</definedName>
    <definedName name="_xlnm.Print_Area" localSheetId="24">機能別!$A$1:$O$62</definedName>
    <definedName name="_xlnm.Print_Area" localSheetId="25">係数!$A$1:$AB$111</definedName>
    <definedName name="_xlnm.Print_Area" localSheetId="15">建物他明細!$B$4:$M$27</definedName>
    <definedName name="_xlnm.Print_Area" localSheetId="11">'原料購入単価（入力あり）'!$A$1:$D$16</definedName>
    <definedName name="_xlnm.Print_Area" localSheetId="14">減価償却!$B$4:$F$15</definedName>
    <definedName name="_xlnm.Print_Area" localSheetId="13">参考資料!$B$1:$F$8,参考資料!$I$1:$M$17,参考資料!$P$1:$T$11,参考資料!$I$26:$M$32</definedName>
    <definedName name="_xlnm.Print_Area" localSheetId="23">'参考料金（入力あり）'!$A$2:$G$41</definedName>
    <definedName name="_xlnm.Print_Area" localSheetId="18">車両明細!$B$2:$K$13</definedName>
    <definedName name="_xlnm.Print_Area" localSheetId="3">設定申請書鑑!$A$1:$K$51</definedName>
    <definedName name="_xlnm.Print_Area" localSheetId="28">'設備設置年表（改訂）'!$A$1:$AN$81</definedName>
    <definedName name="_xlnm.Print_Area" localSheetId="6">説明書!$B$1:$H$25,説明書!$B$29:$H$58,説明書!$B$60:$H$89</definedName>
    <definedName name="_xlnm.Print_Area" localSheetId="8">総括表!$A$1:$G$24</definedName>
    <definedName name="_xlnm.Print_Area" localSheetId="9">展開!$A$1:$F$28</definedName>
    <definedName name="_xlnm.Print_Area" localSheetId="7">投資額!$A$1:$H$38</definedName>
    <definedName name="_xlnm.Print_Area" localSheetId="17">導管明細!$B$2:$O$28</definedName>
    <definedName name="_xlnm.Print_Area" localSheetId="2">販売量ﾃﾞｰﾀ!$A$1:$R$46</definedName>
    <definedName name="_xlnm.Print_Area" localSheetId="4">'変更申請書鑑（理由書入力あり）'!$A$1:$K$61</definedName>
    <definedName name="_xlnm.Print_Area" localSheetId="5">'変更内容（入力あり）'!$A$1:$H$29,'変更内容（入力あり）'!$A$33:$H$65</definedName>
    <definedName name="_xlnm.Print_Area" localSheetId="1">約款料金!$A$1:$J$36</definedName>
    <definedName name="_xlnm.Print_Area" localSheetId="21">'料金表(税込)'!$A$1:$K$112</definedName>
    <definedName name="_xlnm.Print_Area" localSheetId="20">'料金表(税抜)'!$A$1:$K$112</definedName>
    <definedName name="_xlnm.Print_Area" localSheetId="22">'料金表(総額表示対応)'!$A$1:$K$112</definedName>
    <definedName name="投資区分">説明書!$K$3:$AC$15</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Z16" i="11" l="1"/>
  <c r="Z18" i="11"/>
  <c r="Z17" i="11"/>
  <c r="Z15" i="11"/>
  <c r="AA21" i="11" l="1"/>
  <c r="AA20" i="11"/>
  <c r="AA19" i="11"/>
  <c r="AA18" i="11"/>
  <c r="AA17" i="11"/>
  <c r="AA16" i="11"/>
  <c r="AA15" i="11"/>
  <c r="AA14" i="11"/>
  <c r="AA13" i="11"/>
  <c r="AA12" i="11"/>
  <c r="AA11" i="11"/>
  <c r="AA10" i="11"/>
  <c r="AA9" i="11"/>
  <c r="AA8" i="11"/>
  <c r="AA7" i="11"/>
  <c r="AA6" i="11"/>
  <c r="AA5" i="11"/>
  <c r="AA4" i="11"/>
  <c r="M19" i="36" l="1"/>
  <c r="M18" i="36"/>
  <c r="M17" i="36"/>
  <c r="M16" i="36"/>
  <c r="M15" i="36"/>
  <c r="M14" i="36"/>
  <c r="M13" i="36"/>
  <c r="M12" i="36"/>
  <c r="M11" i="36"/>
  <c r="R39" i="5"/>
  <c r="Q39" i="5"/>
  <c r="P39" i="5"/>
  <c r="O39" i="5"/>
  <c r="N39" i="5"/>
  <c r="M39" i="5"/>
  <c r="L39" i="5"/>
  <c r="K39" i="5"/>
  <c r="J39" i="5"/>
  <c r="R38" i="5"/>
  <c r="Q38" i="5"/>
  <c r="P38" i="5"/>
  <c r="O38" i="5"/>
  <c r="N38" i="5"/>
  <c r="M38" i="5"/>
  <c r="L38" i="5"/>
  <c r="K38" i="5"/>
  <c r="J38" i="5"/>
  <c r="R37" i="5"/>
  <c r="Q37" i="5"/>
  <c r="P37" i="5"/>
  <c r="O37" i="5"/>
  <c r="N37" i="5"/>
  <c r="M37" i="5"/>
  <c r="L37" i="5"/>
  <c r="K37" i="5" l="1"/>
  <c r="J37" i="5"/>
  <c r="R36" i="5" l="1"/>
  <c r="Q36" i="5"/>
  <c r="P36" i="5"/>
  <c r="O36" i="5"/>
  <c r="N36" i="5"/>
  <c r="M36" i="5"/>
  <c r="L36" i="5"/>
  <c r="K36" i="5"/>
  <c r="J36" i="5"/>
  <c r="R33" i="5"/>
  <c r="Q33" i="5"/>
  <c r="P33" i="5"/>
  <c r="O33" i="5"/>
  <c r="N33" i="5"/>
  <c r="M33" i="5"/>
  <c r="L33" i="5"/>
  <c r="K33" i="5"/>
  <c r="J33" i="5"/>
  <c r="R32" i="5"/>
  <c r="Q32" i="5"/>
  <c r="P32" i="5"/>
  <c r="O32" i="5"/>
  <c r="N32" i="5"/>
  <c r="M32" i="5"/>
  <c r="L32" i="5"/>
  <c r="K32" i="5"/>
  <c r="J32" i="5"/>
  <c r="R31" i="5"/>
  <c r="Q31" i="5"/>
  <c r="P31" i="5"/>
  <c r="O31" i="5"/>
  <c r="N31" i="5"/>
  <c r="M31" i="5"/>
  <c r="L31" i="5"/>
  <c r="K31" i="5"/>
  <c r="J31" i="5"/>
  <c r="R30" i="5"/>
  <c r="Q30" i="5"/>
  <c r="P30" i="5"/>
  <c r="O30" i="5"/>
  <c r="N30" i="5"/>
  <c r="M30" i="5"/>
  <c r="L30" i="5"/>
  <c r="K30" i="5"/>
  <c r="J30" i="5"/>
  <c r="J29" i="5"/>
  <c r="R29" i="5"/>
  <c r="Q29" i="5"/>
  <c r="M29" i="5"/>
  <c r="O29" i="5"/>
  <c r="L29" i="5"/>
  <c r="K29" i="5"/>
  <c r="R28" i="5"/>
  <c r="Q28" i="5"/>
  <c r="P29" i="5"/>
  <c r="P28" i="5"/>
  <c r="O28" i="5"/>
  <c r="N29" i="5"/>
  <c r="N28" i="5"/>
  <c r="M28" i="5"/>
  <c r="L28" i="5"/>
  <c r="K28" i="5"/>
  <c r="J28" i="5"/>
  <c r="R27" i="5"/>
  <c r="Q27" i="5"/>
  <c r="P27" i="5"/>
  <c r="O27" i="5"/>
  <c r="N27" i="5"/>
  <c r="L27" i="5"/>
  <c r="K27" i="5"/>
  <c r="J27" i="5"/>
  <c r="R26" i="5"/>
  <c r="Q26" i="5"/>
  <c r="P26" i="5"/>
  <c r="O26" i="5"/>
  <c r="N26" i="5"/>
  <c r="M27" i="5"/>
  <c r="M26" i="5"/>
  <c r="L26" i="5"/>
  <c r="K26" i="5"/>
  <c r="J26" i="5"/>
  <c r="R25" i="5"/>
  <c r="Q25" i="5"/>
  <c r="P25" i="5"/>
  <c r="O25" i="5"/>
  <c r="N25" i="5"/>
  <c r="M25" i="5"/>
  <c r="L25" i="5"/>
  <c r="K25" i="5"/>
  <c r="J25" i="5"/>
  <c r="R24" i="5"/>
  <c r="Q24" i="5"/>
  <c r="P24" i="5"/>
  <c r="O24" i="5"/>
  <c r="N24" i="5"/>
  <c r="M24" i="5"/>
  <c r="L24" i="5"/>
  <c r="K24" i="5"/>
  <c r="J24" i="5"/>
  <c r="R22" i="5"/>
  <c r="Q22" i="5"/>
  <c r="P22" i="5"/>
  <c r="O22" i="5"/>
  <c r="N22" i="5"/>
  <c r="M22" i="5"/>
  <c r="L22" i="5"/>
  <c r="K22" i="5"/>
  <c r="J22" i="5"/>
  <c r="AB18" i="11" l="1"/>
  <c r="AB17" i="11"/>
  <c r="AB16" i="11"/>
  <c r="AB15" i="11"/>
  <c r="U25" i="5" l="1"/>
  <c r="V25" i="5"/>
  <c r="W25" i="5"/>
  <c r="X25" i="5"/>
  <c r="Y25" i="5"/>
  <c r="Z25" i="5"/>
  <c r="AA25" i="5"/>
  <c r="AB25" i="5"/>
  <c r="S25" i="5" l="1"/>
  <c r="B1" i="36" l="1"/>
  <c r="S46" i="11"/>
  <c r="M70" i="6" s="1"/>
  <c r="D75" i="6"/>
  <c r="S47" i="11"/>
  <c r="L11" i="36"/>
  <c r="N11" i="36" s="1"/>
  <c r="F40" i="5"/>
  <c r="G40" i="5" s="1"/>
  <c r="E34" i="5" s="1"/>
  <c r="F47" i="5"/>
  <c r="G47" i="5" s="1"/>
  <c r="L15" i="6"/>
  <c r="N15" i="6"/>
  <c r="O15" i="6"/>
  <c r="P15" i="6"/>
  <c r="Q15" i="6"/>
  <c r="R15" i="6"/>
  <c r="S15" i="6"/>
  <c r="T15" i="6"/>
  <c r="U15" i="6"/>
  <c r="V15" i="6"/>
  <c r="W15" i="6"/>
  <c r="X15" i="6"/>
  <c r="Y15" i="6"/>
  <c r="Z15" i="6"/>
  <c r="AA15" i="6"/>
  <c r="AB15" i="6"/>
  <c r="AC15" i="6"/>
  <c r="F22" i="5"/>
  <c r="L4" i="6"/>
  <c r="E7" i="30"/>
  <c r="N4" i="6"/>
  <c r="V22" i="5"/>
  <c r="P4" i="6"/>
  <c r="R4" i="6"/>
  <c r="X22" i="5"/>
  <c r="H9" i="30" s="1"/>
  <c r="H8" i="30" s="1"/>
  <c r="T4" i="6"/>
  <c r="V4" i="6"/>
  <c r="Z22" i="5"/>
  <c r="J9" i="30" s="1"/>
  <c r="J8" i="30" s="1"/>
  <c r="X4" i="6"/>
  <c r="AA22" i="5"/>
  <c r="Z4" i="6"/>
  <c r="L7" i="30"/>
  <c r="AB4" i="6"/>
  <c r="F24" i="5"/>
  <c r="T24" i="5" s="1"/>
  <c r="M5" i="6" s="1"/>
  <c r="L5" i="6"/>
  <c r="N5" i="6"/>
  <c r="F10" i="30"/>
  <c r="P5" i="6"/>
  <c r="G10" i="30"/>
  <c r="R5" i="6"/>
  <c r="H10" i="30"/>
  <c r="T5" i="6"/>
  <c r="Y24" i="5"/>
  <c r="V5" i="6"/>
  <c r="J10" i="30"/>
  <c r="X5" i="6"/>
  <c r="K10" i="30"/>
  <c r="Z5" i="6"/>
  <c r="L10" i="30"/>
  <c r="AB5" i="6"/>
  <c r="F25" i="5"/>
  <c r="T25" i="5" s="1"/>
  <c r="AC25" i="5" s="1"/>
  <c r="L6" i="6"/>
  <c r="N6" i="6"/>
  <c r="P6" i="6"/>
  <c r="R6" i="6"/>
  <c r="T6" i="6"/>
  <c r="V6" i="6"/>
  <c r="AA6" i="6"/>
  <c r="Z6" i="6"/>
  <c r="AC6" i="6"/>
  <c r="L13" i="30"/>
  <c r="AB6" i="6"/>
  <c r="X6" i="6"/>
  <c r="F26" i="5"/>
  <c r="T26" i="5" s="1"/>
  <c r="L7" i="6"/>
  <c r="U26" i="5"/>
  <c r="E18" i="30" s="1"/>
  <c r="E17" i="30" s="1"/>
  <c r="N7" i="6"/>
  <c r="F16" i="30"/>
  <c r="P7" i="6"/>
  <c r="G16" i="30"/>
  <c r="R7" i="6"/>
  <c r="X26" i="5"/>
  <c r="H18" i="30" s="1"/>
  <c r="H17" i="30" s="1"/>
  <c r="T7" i="6"/>
  <c r="Y26" i="5"/>
  <c r="W7" i="6" s="1"/>
  <c r="V7" i="6"/>
  <c r="J16" i="30"/>
  <c r="X7" i="6"/>
  <c r="K16" i="30"/>
  <c r="Z7" i="6"/>
  <c r="L16" i="30"/>
  <c r="AB7" i="6"/>
  <c r="F27" i="5"/>
  <c r="L8" i="6"/>
  <c r="E19" i="30"/>
  <c r="N8" i="6"/>
  <c r="V27" i="5"/>
  <c r="P8" i="6"/>
  <c r="G19" i="30"/>
  <c r="R8" i="6"/>
  <c r="X27" i="5"/>
  <c r="T8" i="6"/>
  <c r="Y27" i="5"/>
  <c r="W8" i="6" s="1"/>
  <c r="V8" i="6"/>
  <c r="Z27" i="5"/>
  <c r="J21" i="30" s="1"/>
  <c r="J20" i="30" s="1"/>
  <c r="X8" i="6"/>
  <c r="K19" i="30"/>
  <c r="Z8" i="6"/>
  <c r="AB27" i="5"/>
  <c r="L21" i="30" s="1"/>
  <c r="L20" i="30" s="1"/>
  <c r="AB8" i="6"/>
  <c r="F32" i="5"/>
  <c r="T32" i="5" s="1"/>
  <c r="D24" i="30" s="1"/>
  <c r="L13" i="6"/>
  <c r="U32" i="5"/>
  <c r="N13" i="6"/>
  <c r="V32" i="5"/>
  <c r="P13" i="6"/>
  <c r="R13" i="6"/>
  <c r="H22" i="30"/>
  <c r="T13" i="6"/>
  <c r="V13" i="6"/>
  <c r="Z32" i="5"/>
  <c r="Y13" i="6" s="1"/>
  <c r="X13" i="6"/>
  <c r="K22" i="30"/>
  <c r="Z13" i="6"/>
  <c r="AB32" i="5"/>
  <c r="AB13" i="6"/>
  <c r="F33" i="5"/>
  <c r="L14" i="6"/>
  <c r="N14" i="6"/>
  <c r="F25" i="30"/>
  <c r="P14" i="6"/>
  <c r="R14" i="6"/>
  <c r="H25" i="30"/>
  <c r="T14" i="6"/>
  <c r="Y33" i="5"/>
  <c r="V14" i="6"/>
  <c r="J25" i="30"/>
  <c r="X14" i="6"/>
  <c r="AA33" i="5"/>
  <c r="K27" i="30" s="1"/>
  <c r="K26" i="30" s="1"/>
  <c r="Z14" i="6"/>
  <c r="AB33" i="5"/>
  <c r="AC14" i="6" s="1"/>
  <c r="AB14" i="6"/>
  <c r="F11" i="28"/>
  <c r="L9" i="6"/>
  <c r="U28" i="5"/>
  <c r="N9" i="6"/>
  <c r="H11" i="28"/>
  <c r="P9" i="6"/>
  <c r="W28" i="5"/>
  <c r="I15" i="28" s="1"/>
  <c r="I13" i="28" s="1"/>
  <c r="R9" i="6"/>
  <c r="X28" i="5"/>
  <c r="T9" i="6"/>
  <c r="V9" i="6"/>
  <c r="L11" i="28"/>
  <c r="X9" i="6"/>
  <c r="AA28" i="5"/>
  <c r="Z9" i="6"/>
  <c r="N11" i="28"/>
  <c r="AB9" i="6"/>
  <c r="T29" i="5"/>
  <c r="M10" i="6" s="1"/>
  <c r="J43" i="5"/>
  <c r="T43" i="5" s="1"/>
  <c r="L10" i="6"/>
  <c r="G12" i="28"/>
  <c r="N10" i="6"/>
  <c r="V29" i="5"/>
  <c r="P10" i="6"/>
  <c r="I12" i="28"/>
  <c r="R10" i="6"/>
  <c r="J12" i="28"/>
  <c r="T10" i="6"/>
  <c r="K12" i="28"/>
  <c r="V10" i="6"/>
  <c r="Z29" i="5"/>
  <c r="X10" i="6"/>
  <c r="Z10" i="6"/>
  <c r="AB29" i="5"/>
  <c r="AB10" i="6"/>
  <c r="F23" i="28"/>
  <c r="L11" i="6"/>
  <c r="U30" i="5"/>
  <c r="G27" i="28" s="1"/>
  <c r="G25" i="28" s="1"/>
  <c r="N11" i="6"/>
  <c r="H23" i="28"/>
  <c r="P11" i="6"/>
  <c r="R11" i="6"/>
  <c r="X30" i="5"/>
  <c r="U11" i="6" s="1"/>
  <c r="T11" i="6"/>
  <c r="K23" i="28"/>
  <c r="V11" i="6"/>
  <c r="X11" i="6"/>
  <c r="Z11" i="6"/>
  <c r="AB30" i="5"/>
  <c r="N27" i="28" s="1"/>
  <c r="N25" i="28" s="1"/>
  <c r="AB11" i="6"/>
  <c r="T31" i="5"/>
  <c r="F28" i="28" s="1"/>
  <c r="L12" i="6"/>
  <c r="U31" i="5"/>
  <c r="N12" i="6"/>
  <c r="H24" i="28"/>
  <c r="P12" i="6"/>
  <c r="W31" i="5"/>
  <c r="R12" i="6"/>
  <c r="X31" i="5"/>
  <c r="T12" i="6"/>
  <c r="Y31" i="5"/>
  <c r="W12" i="6" s="1"/>
  <c r="V12" i="6"/>
  <c r="X12" i="6"/>
  <c r="M24" i="28"/>
  <c r="Z12" i="6"/>
  <c r="AB31" i="5"/>
  <c r="AC12" i="6" s="1"/>
  <c r="AB12" i="6"/>
  <c r="K52" i="5"/>
  <c r="U52" i="5" s="1"/>
  <c r="L52" i="5"/>
  <c r="V52" i="5" s="1"/>
  <c r="M52" i="5"/>
  <c r="W52" i="5" s="1"/>
  <c r="N52" i="5"/>
  <c r="X52" i="5" s="1"/>
  <c r="O52" i="5"/>
  <c r="Y52" i="5" s="1"/>
  <c r="P52" i="5"/>
  <c r="Z52" i="5" s="1"/>
  <c r="Q52" i="5"/>
  <c r="AA52" i="5" s="1"/>
  <c r="R52" i="5"/>
  <c r="AB52" i="5" s="1"/>
  <c r="J53" i="5"/>
  <c r="K53" i="5"/>
  <c r="L53" i="5"/>
  <c r="V53" i="5" s="1"/>
  <c r="M53" i="5"/>
  <c r="W53" i="5" s="1"/>
  <c r="N53" i="5"/>
  <c r="X53" i="5" s="1"/>
  <c r="O53" i="5"/>
  <c r="Y53" i="5" s="1"/>
  <c r="P53" i="5"/>
  <c r="Z53" i="5" s="1"/>
  <c r="Q53" i="5"/>
  <c r="AA53" i="5" s="1"/>
  <c r="R53" i="5"/>
  <c r="AB53" i="5" s="1"/>
  <c r="T36" i="5"/>
  <c r="F10" i="28" s="1"/>
  <c r="F8" i="28" s="1"/>
  <c r="G6" i="28"/>
  <c r="V36" i="5"/>
  <c r="Q88" i="6" s="1"/>
  <c r="W36" i="5"/>
  <c r="I10" i="28" s="1"/>
  <c r="I8" i="28" s="1"/>
  <c r="J6" i="28"/>
  <c r="Y36" i="5"/>
  <c r="W88" i="6" s="1"/>
  <c r="L6" i="28"/>
  <c r="AA36" i="5"/>
  <c r="F5" i="28"/>
  <c r="V38" i="5"/>
  <c r="H9" i="28" s="1"/>
  <c r="H7" i="28" s="1"/>
  <c r="I5" i="28"/>
  <c r="K5" i="28"/>
  <c r="AA38" i="5"/>
  <c r="M9" i="28" s="1"/>
  <c r="M7" i="28" s="1"/>
  <c r="N5" i="28"/>
  <c r="J49" i="5"/>
  <c r="T49" i="5" s="1"/>
  <c r="K49" i="5"/>
  <c r="U49" i="5" s="1"/>
  <c r="L49" i="5"/>
  <c r="V49" i="5" s="1"/>
  <c r="M49" i="5"/>
  <c r="W49" i="5" s="1"/>
  <c r="N49" i="5"/>
  <c r="X49" i="5" s="1"/>
  <c r="O49" i="5"/>
  <c r="Y49" i="5" s="1"/>
  <c r="P49" i="5"/>
  <c r="Z49" i="5" s="1"/>
  <c r="Q49" i="5"/>
  <c r="AA49" i="5" s="1"/>
  <c r="R49" i="5"/>
  <c r="AB49" i="5" s="1"/>
  <c r="J47" i="5"/>
  <c r="T47" i="5" s="1"/>
  <c r="K47" i="5"/>
  <c r="U47" i="5" s="1"/>
  <c r="L47" i="5"/>
  <c r="V47" i="5" s="1"/>
  <c r="M47" i="5"/>
  <c r="W47" i="5" s="1"/>
  <c r="N47" i="5"/>
  <c r="X47" i="5" s="1"/>
  <c r="O47" i="5"/>
  <c r="Y47" i="5" s="1"/>
  <c r="P47" i="5"/>
  <c r="Z47" i="5" s="1"/>
  <c r="Q47" i="5"/>
  <c r="AA47" i="5" s="1"/>
  <c r="R47" i="5"/>
  <c r="AB47" i="5" s="1"/>
  <c r="J42" i="5"/>
  <c r="T42" i="5" s="1"/>
  <c r="K42" i="5"/>
  <c r="U42" i="5" s="1"/>
  <c r="L42" i="5"/>
  <c r="M42" i="5"/>
  <c r="W42" i="5" s="1"/>
  <c r="N42" i="5"/>
  <c r="X42" i="5" s="1"/>
  <c r="O42" i="5"/>
  <c r="Y42" i="5" s="1"/>
  <c r="P42" i="5"/>
  <c r="Z42" i="5" s="1"/>
  <c r="Q42" i="5"/>
  <c r="AA42" i="5" s="1"/>
  <c r="R42" i="5"/>
  <c r="AB42" i="5" s="1"/>
  <c r="K43" i="5"/>
  <c r="U43" i="5" s="1"/>
  <c r="L43" i="5"/>
  <c r="V43" i="5" s="1"/>
  <c r="M43" i="5"/>
  <c r="W43" i="5" s="1"/>
  <c r="N43" i="5"/>
  <c r="X43" i="5" s="1"/>
  <c r="O43" i="5"/>
  <c r="Y43" i="5" s="1"/>
  <c r="P43" i="5"/>
  <c r="Z43" i="5" s="1"/>
  <c r="Q43" i="5"/>
  <c r="AA43" i="5" s="1"/>
  <c r="R43" i="5"/>
  <c r="AB43" i="5" s="1"/>
  <c r="T37" i="5"/>
  <c r="U37" i="5"/>
  <c r="O89" i="6" s="1"/>
  <c r="V37" i="5"/>
  <c r="H22" i="28" s="1"/>
  <c r="H20" i="28" s="1"/>
  <c r="I18" i="28"/>
  <c r="Y37" i="5"/>
  <c r="K22" i="28" s="1"/>
  <c r="K20" i="28" s="1"/>
  <c r="Z37" i="5"/>
  <c r="AA37" i="5"/>
  <c r="AA89" i="6" s="1"/>
  <c r="AB37" i="5"/>
  <c r="N22" i="28" s="1"/>
  <c r="N20" i="28" s="1"/>
  <c r="F17" i="28"/>
  <c r="H17" i="28"/>
  <c r="W39" i="5"/>
  <c r="I21" i="28" s="1"/>
  <c r="I19" i="28" s="1"/>
  <c r="J17" i="28"/>
  <c r="Y39" i="5"/>
  <c r="K21" i="28" s="1"/>
  <c r="K19" i="28" s="1"/>
  <c r="L17" i="28"/>
  <c r="AA39" i="5"/>
  <c r="M21" i="28" s="1"/>
  <c r="M19" i="28" s="1"/>
  <c r="AB39" i="5"/>
  <c r="N21" i="28" s="1"/>
  <c r="N19" i="28" s="1"/>
  <c r="J48" i="5"/>
  <c r="T48" i="5" s="1"/>
  <c r="K48" i="5"/>
  <c r="U48" i="5" s="1"/>
  <c r="L48" i="5"/>
  <c r="V48" i="5" s="1"/>
  <c r="M48" i="5"/>
  <c r="W48" i="5" s="1"/>
  <c r="N48" i="5"/>
  <c r="X48" i="5" s="1"/>
  <c r="O48" i="5"/>
  <c r="Y48" i="5" s="1"/>
  <c r="P48" i="5"/>
  <c r="Z48" i="5" s="1"/>
  <c r="Q48" i="5"/>
  <c r="AA48" i="5" s="1"/>
  <c r="R48" i="5"/>
  <c r="AB48" i="5" s="1"/>
  <c r="J50" i="5"/>
  <c r="T50" i="5" s="1"/>
  <c r="K50" i="5"/>
  <c r="U50" i="5" s="1"/>
  <c r="L50" i="5"/>
  <c r="V50" i="5" s="1"/>
  <c r="M50" i="5"/>
  <c r="W50" i="5" s="1"/>
  <c r="N50" i="5"/>
  <c r="X50" i="5" s="1"/>
  <c r="O50" i="5"/>
  <c r="Y50" i="5" s="1"/>
  <c r="P50" i="5"/>
  <c r="Z50" i="5" s="1"/>
  <c r="Q50" i="5"/>
  <c r="AA50" i="5" s="1"/>
  <c r="R50" i="5"/>
  <c r="AB50" i="5" s="1"/>
  <c r="J44" i="5"/>
  <c r="T44" i="5" s="1"/>
  <c r="K44" i="5"/>
  <c r="U44" i="5" s="1"/>
  <c r="L44" i="5"/>
  <c r="V44" i="5" s="1"/>
  <c r="M44" i="5"/>
  <c r="W44" i="5" s="1"/>
  <c r="N44" i="5"/>
  <c r="X44" i="5" s="1"/>
  <c r="O44" i="5"/>
  <c r="Y44" i="5" s="1"/>
  <c r="P44" i="5"/>
  <c r="Z44" i="5" s="1"/>
  <c r="Q44" i="5"/>
  <c r="AA44" i="5" s="1"/>
  <c r="R44" i="5"/>
  <c r="AB44" i="5" s="1"/>
  <c r="K45" i="5"/>
  <c r="U45" i="5" s="1"/>
  <c r="L45" i="5"/>
  <c r="V45" i="5" s="1"/>
  <c r="M45" i="5"/>
  <c r="W45" i="5" s="1"/>
  <c r="N45" i="5"/>
  <c r="X45" i="5" s="1"/>
  <c r="O45" i="5"/>
  <c r="Y45" i="5" s="1"/>
  <c r="P45" i="5"/>
  <c r="Z45" i="5" s="1"/>
  <c r="Q45" i="5"/>
  <c r="AA45" i="5" s="1"/>
  <c r="R45" i="5"/>
  <c r="AB45" i="5" s="1"/>
  <c r="L18" i="36"/>
  <c r="N18" i="36" s="1"/>
  <c r="L88" i="6"/>
  <c r="N88" i="6"/>
  <c r="P88" i="6"/>
  <c r="R88" i="6"/>
  <c r="T88" i="6"/>
  <c r="V88" i="6"/>
  <c r="X88" i="6"/>
  <c r="Z88" i="6"/>
  <c r="AB88" i="6"/>
  <c r="L89" i="6"/>
  <c r="N89" i="6"/>
  <c r="P89" i="6"/>
  <c r="R89" i="6"/>
  <c r="T89" i="6"/>
  <c r="V89" i="6"/>
  <c r="X89" i="6"/>
  <c r="Z89" i="6"/>
  <c r="AB89" i="6"/>
  <c r="F36" i="6"/>
  <c r="B33" i="6"/>
  <c r="D33" i="6" s="1"/>
  <c r="G33" i="6" s="1"/>
  <c r="N71" i="6"/>
  <c r="B9" i="6"/>
  <c r="D57" i="11"/>
  <c r="F57" i="11"/>
  <c r="H57" i="11"/>
  <c r="E6" i="5"/>
  <c r="D6" i="6"/>
  <c r="K57" i="11"/>
  <c r="M57" i="11"/>
  <c r="O57" i="11"/>
  <c r="B13" i="6"/>
  <c r="D13" i="6"/>
  <c r="M43" i="6"/>
  <c r="N43" i="6"/>
  <c r="M44" i="6"/>
  <c r="N44" i="6"/>
  <c r="M45" i="6"/>
  <c r="N45" i="6"/>
  <c r="K21" i="36"/>
  <c r="F44" i="1"/>
  <c r="E42" i="1"/>
  <c r="C60" i="1"/>
  <c r="D13" i="2"/>
  <c r="E9" i="32" s="1"/>
  <c r="C14" i="2"/>
  <c r="H16" i="22" s="1"/>
  <c r="E14" i="5"/>
  <c r="E16" i="5" s="1"/>
  <c r="E17" i="5"/>
  <c r="E15" i="5"/>
  <c r="G15" i="5" s="1"/>
  <c r="D88" i="6"/>
  <c r="G7" i="32"/>
  <c r="U6" i="8"/>
  <c r="X6" i="8"/>
  <c r="U7" i="8"/>
  <c r="E23" i="9" s="1"/>
  <c r="X7" i="8"/>
  <c r="Z7" i="8"/>
  <c r="U8" i="8"/>
  <c r="U9" i="8"/>
  <c r="T9" i="8"/>
  <c r="H53" i="32"/>
  <c r="C17" i="3"/>
  <c r="B2" i="3" s="1"/>
  <c r="D34" i="1"/>
  <c r="F31" i="5"/>
  <c r="E13" i="5"/>
  <c r="F21" i="19"/>
  <c r="E9" i="27"/>
  <c r="H111" i="11"/>
  <c r="B5" i="2" s="1"/>
  <c r="D6" i="10" s="1"/>
  <c r="E62" i="11"/>
  <c r="P67" i="6"/>
  <c r="M71" i="6"/>
  <c r="AE5" i="6"/>
  <c r="AE11" i="6" s="1"/>
  <c r="C18" i="8"/>
  <c r="C19" i="8"/>
  <c r="C21" i="8"/>
  <c r="C22" i="8"/>
  <c r="Z6" i="8"/>
  <c r="X8" i="8"/>
  <c r="Z8" i="8"/>
  <c r="X9" i="8"/>
  <c r="Z9" i="8"/>
  <c r="C19" i="3"/>
  <c r="C59" i="15"/>
  <c r="AM33" i="15"/>
  <c r="AK33" i="15" s="1"/>
  <c r="AI33" i="15" s="1"/>
  <c r="AG33" i="15" s="1"/>
  <c r="AE33" i="15" s="1"/>
  <c r="AC33" i="15" s="1"/>
  <c r="AA33" i="15" s="1"/>
  <c r="Y33" i="15" s="1"/>
  <c r="W33" i="15" s="1"/>
  <c r="U33" i="15" s="1"/>
  <c r="S33" i="15" s="1"/>
  <c r="Q33" i="15" s="1"/>
  <c r="O33" i="15" s="1"/>
  <c r="M33" i="15" s="1"/>
  <c r="K33" i="15" s="1"/>
  <c r="I33" i="15" s="1"/>
  <c r="G33" i="15" s="1"/>
  <c r="E33" i="15" s="1"/>
  <c r="C33" i="15" s="1"/>
  <c r="AM7" i="15" s="1"/>
  <c r="AK7" i="15" s="1"/>
  <c r="AI7" i="15" s="1"/>
  <c r="AG7" i="15" s="1"/>
  <c r="AE7" i="15" s="1"/>
  <c r="AC7" i="15" s="1"/>
  <c r="AA7" i="15" s="1"/>
  <c r="Y7" i="15" s="1"/>
  <c r="W7" i="15" s="1"/>
  <c r="U7" i="15" s="1"/>
  <c r="S7" i="15" s="1"/>
  <c r="Q7" i="15" s="1"/>
  <c r="O7" i="15" s="1"/>
  <c r="M7" i="15" s="1"/>
  <c r="K7" i="15" s="1"/>
  <c r="I7" i="15" s="1"/>
  <c r="G7" i="15" s="1"/>
  <c r="E7" i="15" s="1"/>
  <c r="AP60" i="15"/>
  <c r="AP62" i="15"/>
  <c r="AP64" i="15"/>
  <c r="AP66" i="15"/>
  <c r="AP68" i="15"/>
  <c r="AP70" i="15"/>
  <c r="AP72" i="15"/>
  <c r="AP74" i="15"/>
  <c r="AP76" i="15"/>
  <c r="AP78" i="15"/>
  <c r="G111" i="11"/>
  <c r="I111" i="11"/>
  <c r="J111" i="11"/>
  <c r="K111" i="11"/>
  <c r="B6" i="2" s="1"/>
  <c r="L111" i="11"/>
  <c r="M111" i="11"/>
  <c r="N111" i="11"/>
  <c r="B7" i="2" s="1"/>
  <c r="K8" i="10" s="1"/>
  <c r="O111" i="11"/>
  <c r="P111" i="11"/>
  <c r="Q111" i="11"/>
  <c r="B8" i="2" s="1"/>
  <c r="K10" i="10" s="1"/>
  <c r="R111" i="11"/>
  <c r="S111" i="11"/>
  <c r="E46" i="1"/>
  <c r="B2" i="8" s="1"/>
  <c r="D2" i="8" s="1"/>
  <c r="E47" i="1"/>
  <c r="B3" i="8" s="1"/>
  <c r="D3" i="8" s="1"/>
  <c r="E48" i="1"/>
  <c r="B4" i="8" s="1"/>
  <c r="D4" i="8" s="1"/>
  <c r="C39" i="3"/>
  <c r="H28" i="3"/>
  <c r="F6" i="3"/>
  <c r="H29" i="3"/>
  <c r="F7" i="3"/>
  <c r="H30" i="3"/>
  <c r="F8" i="3"/>
  <c r="H31" i="3"/>
  <c r="F9" i="3"/>
  <c r="H32" i="3"/>
  <c r="F10" i="3"/>
  <c r="H33" i="3"/>
  <c r="F11" i="3"/>
  <c r="H34" i="3"/>
  <c r="F12" i="3"/>
  <c r="H35" i="3"/>
  <c r="F13" i="3"/>
  <c r="H36" i="3"/>
  <c r="F14" i="3"/>
  <c r="H37" i="3"/>
  <c r="F15" i="3"/>
  <c r="H38" i="3"/>
  <c r="F16" i="3"/>
  <c r="H27" i="3"/>
  <c r="F5" i="3"/>
  <c r="J14" i="8"/>
  <c r="L16" i="8"/>
  <c r="L6" i="26"/>
  <c r="L7" i="26"/>
  <c r="L8" i="26"/>
  <c r="L9" i="26"/>
  <c r="L10" i="26"/>
  <c r="L11" i="26"/>
  <c r="L12" i="26"/>
  <c r="L13" i="26"/>
  <c r="L14" i="26"/>
  <c r="L15" i="26"/>
  <c r="D17" i="26"/>
  <c r="D24" i="26"/>
  <c r="D25" i="26"/>
  <c r="K3" i="25"/>
  <c r="A4" i="25"/>
  <c r="A60" i="25" s="1"/>
  <c r="B16" i="2"/>
  <c r="B17" i="2"/>
  <c r="O30" i="10" s="1"/>
  <c r="C16" i="2"/>
  <c r="N31" i="10" s="1"/>
  <c r="D3" i="23"/>
  <c r="K3" i="23"/>
  <c r="J4" i="23" s="1"/>
  <c r="A4" i="23"/>
  <c r="A60" i="23" s="1"/>
  <c r="B7" i="22"/>
  <c r="C7" i="22"/>
  <c r="D7" i="22"/>
  <c r="E7" i="22"/>
  <c r="F7" i="22"/>
  <c r="G7" i="22"/>
  <c r="H7" i="22"/>
  <c r="I7" i="22"/>
  <c r="J7" i="22"/>
  <c r="K7" i="22"/>
  <c r="B8" i="22"/>
  <c r="C8" i="22"/>
  <c r="D8" i="22"/>
  <c r="E8" i="22"/>
  <c r="F8" i="22"/>
  <c r="G8" i="22"/>
  <c r="H8" i="22"/>
  <c r="I8" i="22"/>
  <c r="J8" i="22"/>
  <c r="K8" i="22"/>
  <c r="B9" i="22"/>
  <c r="C9" i="22"/>
  <c r="D9" i="22"/>
  <c r="E9" i="22"/>
  <c r="F9" i="22"/>
  <c r="G9" i="22"/>
  <c r="H9" i="22"/>
  <c r="I9" i="22"/>
  <c r="J9" i="22"/>
  <c r="K9" i="22"/>
  <c r="B10" i="22"/>
  <c r="C10" i="22"/>
  <c r="D10" i="22"/>
  <c r="E10" i="22"/>
  <c r="F10" i="22"/>
  <c r="G10" i="22"/>
  <c r="H10" i="22"/>
  <c r="I10" i="22"/>
  <c r="J10" i="22"/>
  <c r="K10" i="22"/>
  <c r="B11" i="22"/>
  <c r="C11" i="22"/>
  <c r="D11" i="22"/>
  <c r="E11" i="22"/>
  <c r="F11" i="22"/>
  <c r="G11" i="22"/>
  <c r="H11" i="22"/>
  <c r="I11" i="22"/>
  <c r="J11" i="22"/>
  <c r="K11" i="22"/>
  <c r="B12" i="22"/>
  <c r="C12" i="22"/>
  <c r="D12" i="22"/>
  <c r="E12" i="22"/>
  <c r="F12" i="22"/>
  <c r="G12" i="22"/>
  <c r="H12" i="22"/>
  <c r="I12" i="22"/>
  <c r="J12" i="22"/>
  <c r="K12" i="22"/>
  <c r="B13" i="22"/>
  <c r="C13" i="22"/>
  <c r="D13" i="22"/>
  <c r="E13" i="22"/>
  <c r="F13" i="22"/>
  <c r="G13" i="22"/>
  <c r="H13" i="22"/>
  <c r="I13" i="22"/>
  <c r="J13" i="22"/>
  <c r="K13" i="22"/>
  <c r="B14" i="22"/>
  <c r="C14" i="22"/>
  <c r="D14" i="22"/>
  <c r="E14" i="22"/>
  <c r="F14" i="22"/>
  <c r="G14" i="22"/>
  <c r="H14" i="22"/>
  <c r="I14" i="22"/>
  <c r="J14" i="22"/>
  <c r="K14" i="22"/>
  <c r="B15" i="22"/>
  <c r="A4" i="22"/>
  <c r="A60" i="22" s="1"/>
  <c r="H18" i="28"/>
  <c r="E15" i="33"/>
  <c r="E7" i="27"/>
  <c r="E8" i="27"/>
  <c r="E10" i="27"/>
  <c r="E11" i="27"/>
  <c r="E12" i="27"/>
  <c r="E13" i="27"/>
  <c r="E14" i="27"/>
  <c r="O18" i="10"/>
  <c r="K30" i="10"/>
  <c r="L30" i="10"/>
  <c r="M30" i="10"/>
  <c r="J31" i="10"/>
  <c r="K31" i="10"/>
  <c r="L31" i="10"/>
  <c r="J32" i="10"/>
  <c r="D4" i="35"/>
  <c r="A5" i="35"/>
  <c r="A6" i="35" s="1"/>
  <c r="A7" i="35" s="1"/>
  <c r="A8" i="35" s="1"/>
  <c r="A9" i="35" s="1"/>
  <c r="A10" i="35" s="1"/>
  <c r="A11" i="35" s="1"/>
  <c r="A12" i="35" s="1"/>
  <c r="A13" i="35" s="1"/>
  <c r="A14" i="35" s="1"/>
  <c r="A15" i="35" s="1"/>
  <c r="D5" i="35"/>
  <c r="D6" i="35"/>
  <c r="D7" i="35"/>
  <c r="D8" i="35"/>
  <c r="D9" i="35"/>
  <c r="D10" i="35"/>
  <c r="D11" i="35"/>
  <c r="D12" i="35"/>
  <c r="D13" i="35"/>
  <c r="D14" i="35"/>
  <c r="D15" i="35"/>
  <c r="B16" i="35"/>
  <c r="D16" i="35" s="1"/>
  <c r="C16" i="35"/>
  <c r="F6" i="9"/>
  <c r="F10" i="9"/>
  <c r="D49" i="6"/>
  <c r="G14" i="5"/>
  <c r="G16" i="5" s="1"/>
  <c r="F16" i="5"/>
  <c r="F18" i="5"/>
  <c r="F28" i="5"/>
  <c r="F29" i="5"/>
  <c r="F30" i="5"/>
  <c r="F34" i="5"/>
  <c r="A3" i="32"/>
  <c r="D7" i="32"/>
  <c r="E7" i="32"/>
  <c r="F7" i="32"/>
  <c r="H7" i="32"/>
  <c r="B8" i="32"/>
  <c r="D8" i="32"/>
  <c r="E8" i="32"/>
  <c r="G8" i="32"/>
  <c r="H8" i="32"/>
  <c r="B9" i="32"/>
  <c r="G9" i="32"/>
  <c r="H9" i="32"/>
  <c r="D43" i="32"/>
  <c r="D44" i="32"/>
  <c r="D45" i="32"/>
  <c r="D47" i="32"/>
  <c r="D48" i="32"/>
  <c r="D49" i="32"/>
  <c r="H52" i="32"/>
  <c r="H54" i="32"/>
  <c r="H55" i="32"/>
  <c r="H56" i="32"/>
  <c r="H57" i="32"/>
  <c r="H59" i="32"/>
  <c r="H60" i="32"/>
  <c r="H61" i="32"/>
  <c r="H62" i="32"/>
  <c r="H63" i="32"/>
  <c r="H64" i="32"/>
  <c r="I7" i="31"/>
  <c r="B8" i="31"/>
  <c r="G11" i="31"/>
  <c r="G13" i="31"/>
  <c r="G14" i="31"/>
  <c r="I14" i="31"/>
  <c r="F21" i="31"/>
  <c r="J21" i="31"/>
  <c r="F23" i="31"/>
  <c r="D33" i="31"/>
  <c r="I7" i="19"/>
  <c r="B8" i="19"/>
  <c r="G11" i="19"/>
  <c r="G13" i="19"/>
  <c r="G14" i="19"/>
  <c r="I14" i="19"/>
  <c r="J21" i="19"/>
  <c r="F23" i="19"/>
  <c r="Q5" i="3"/>
  <c r="Q6" i="3"/>
  <c r="K28" i="3"/>
  <c r="Q7" i="3"/>
  <c r="Q8" i="3"/>
  <c r="K30" i="3"/>
  <c r="Q9" i="3"/>
  <c r="Q10" i="3"/>
  <c r="K32" i="3" s="1"/>
  <c r="Q11" i="3"/>
  <c r="Q12" i="3"/>
  <c r="K34" i="3" s="1"/>
  <c r="Q13" i="3"/>
  <c r="Q14" i="3"/>
  <c r="K36" i="3"/>
  <c r="Q15" i="3"/>
  <c r="Q16" i="3"/>
  <c r="K38" i="3"/>
  <c r="D17" i="3"/>
  <c r="F17" i="3" s="1"/>
  <c r="E17" i="3"/>
  <c r="I17" i="3"/>
  <c r="H2" i="3"/>
  <c r="J17" i="3"/>
  <c r="K17" i="3"/>
  <c r="L17" i="3"/>
  <c r="M17" i="3"/>
  <c r="N17" i="3"/>
  <c r="O17" i="3"/>
  <c r="P17" i="3"/>
  <c r="D19" i="3"/>
  <c r="E19" i="3"/>
  <c r="I19" i="3"/>
  <c r="J19" i="3"/>
  <c r="K19" i="3"/>
  <c r="L19" i="3"/>
  <c r="M19" i="3"/>
  <c r="N19" i="3"/>
  <c r="O19" i="3"/>
  <c r="P19" i="3"/>
  <c r="J22" i="3"/>
  <c r="L27" i="3"/>
  <c r="L28" i="3"/>
  <c r="L29" i="3"/>
  <c r="L30" i="3"/>
  <c r="L31" i="3"/>
  <c r="L32" i="3"/>
  <c r="L33" i="3"/>
  <c r="L34" i="3"/>
  <c r="L35" i="3"/>
  <c r="L36" i="3"/>
  <c r="L37" i="3"/>
  <c r="L38" i="3"/>
  <c r="D39" i="3"/>
  <c r="E39" i="3"/>
  <c r="F39" i="3"/>
  <c r="G39" i="3"/>
  <c r="D41" i="3"/>
  <c r="E41" i="3"/>
  <c r="F41" i="3"/>
  <c r="G41" i="3"/>
  <c r="H42" i="3"/>
  <c r="B47" i="3"/>
  <c r="G5" i="2"/>
  <c r="H5" i="2" s="1"/>
  <c r="C5" i="2" s="1"/>
  <c r="G6" i="2"/>
  <c r="H6" i="2" s="1"/>
  <c r="G7" i="2"/>
  <c r="H7" i="2" s="1"/>
  <c r="G8" i="2"/>
  <c r="H8" i="2" s="1"/>
  <c r="A18" i="2"/>
  <c r="H17" i="1"/>
  <c r="H18" i="1"/>
  <c r="H19" i="1"/>
  <c r="H20" i="1"/>
  <c r="G25" i="1"/>
  <c r="F40" i="1"/>
  <c r="G58" i="1"/>
  <c r="G59" i="1"/>
  <c r="C63" i="1"/>
  <c r="H13" i="30"/>
  <c r="H43" i="3"/>
  <c r="D44" i="3" s="1"/>
  <c r="C41" i="3"/>
  <c r="K13" i="30"/>
  <c r="D16" i="30"/>
  <c r="J27" i="22"/>
  <c r="K15" i="30"/>
  <c r="K14" i="30" s="1"/>
  <c r="I15" i="30"/>
  <c r="I14" i="30" s="1"/>
  <c r="J19" i="30"/>
  <c r="I13" i="30"/>
  <c r="S6" i="6"/>
  <c r="G13" i="30"/>
  <c r="B22" i="36"/>
  <c r="L15" i="30"/>
  <c r="L14" i="30" s="1"/>
  <c r="W6" i="6"/>
  <c r="E13" i="30"/>
  <c r="D13" i="30"/>
  <c r="O74" i="6"/>
  <c r="F15" i="30"/>
  <c r="F14" i="30" s="1"/>
  <c r="F13" i="30"/>
  <c r="F23" i="5"/>
  <c r="Y6" i="6"/>
  <c r="J13" i="30"/>
  <c r="K42" i="3"/>
  <c r="G15" i="30"/>
  <c r="G14" i="30" s="1"/>
  <c r="E25" i="5"/>
  <c r="V26" i="5"/>
  <c r="F19" i="30"/>
  <c r="X24" i="5"/>
  <c r="U5" i="6" s="1"/>
  <c r="L18" i="28"/>
  <c r="J52" i="5"/>
  <c r="V24" i="5"/>
  <c r="Q5" i="6" s="1"/>
  <c r="U22" i="5"/>
  <c r="E9" i="30" s="1"/>
  <c r="E8" i="30" s="1"/>
  <c r="Z36" i="5"/>
  <c r="L10" i="28" s="1"/>
  <c r="L8" i="28" s="1"/>
  <c r="U33" i="5"/>
  <c r="E27" i="30" s="1"/>
  <c r="E26" i="30" s="1"/>
  <c r="M31" i="10"/>
  <c r="D16" i="22"/>
  <c r="E23" i="22"/>
  <c r="G19" i="22"/>
  <c r="I23" i="22"/>
  <c r="G23" i="22"/>
  <c r="F18" i="22"/>
  <c r="K33" i="22"/>
  <c r="J22" i="22"/>
  <c r="B27" i="22"/>
  <c r="F15" i="22"/>
  <c r="G21" i="22"/>
  <c r="G24" i="22"/>
  <c r="E28" i="22"/>
  <c r="H24" i="22"/>
  <c r="E27" i="22"/>
  <c r="D34" i="22"/>
  <c r="F27" i="22"/>
  <c r="K24" i="22"/>
  <c r="E30" i="22"/>
  <c r="J21" i="22"/>
  <c r="C23" i="22"/>
  <c r="J36" i="22"/>
  <c r="J26" i="22"/>
  <c r="K27" i="22"/>
  <c r="K29" i="22"/>
  <c r="D23" i="22"/>
  <c r="C17" i="2"/>
  <c r="I30" i="25" s="1"/>
  <c r="G16" i="22"/>
  <c r="F29" i="22"/>
  <c r="J35" i="22"/>
  <c r="I16" i="22"/>
  <c r="D33" i="22"/>
  <c r="G36" i="22"/>
  <c r="H23" i="22"/>
  <c r="F36" i="22"/>
  <c r="C34" i="22"/>
  <c r="B28" i="22"/>
  <c r="H32" i="22"/>
  <c r="G32" i="22"/>
  <c r="C26" i="22"/>
  <c r="E25" i="22"/>
  <c r="B31" i="22"/>
  <c r="B19" i="22"/>
  <c r="D36" i="22"/>
  <c r="B34" i="22"/>
  <c r="H26" i="22"/>
  <c r="J32" i="22"/>
  <c r="D19" i="22"/>
  <c r="B21" i="22"/>
  <c r="G22" i="22"/>
  <c r="D22" i="22"/>
  <c r="C33" i="22"/>
  <c r="J30" i="22"/>
  <c r="E35" i="22"/>
  <c r="E15" i="22"/>
  <c r="C20" i="22"/>
  <c r="J28" i="22"/>
  <c r="B32" i="22"/>
  <c r="D35" i="22"/>
  <c r="K23" i="22"/>
  <c r="I22" i="22"/>
  <c r="I36" i="22"/>
  <c r="J20" i="22"/>
  <c r="D27" i="22"/>
  <c r="C31" i="22"/>
  <c r="E34" i="22"/>
  <c r="J19" i="22"/>
  <c r="H15" i="22"/>
  <c r="G28" i="22"/>
  <c r="K34" i="22"/>
  <c r="E31" i="22"/>
  <c r="H36" i="22"/>
  <c r="G15" i="22"/>
  <c r="F20" i="22"/>
  <c r="F21" i="22"/>
  <c r="C18" i="22"/>
  <c r="E19" i="22"/>
  <c r="I25" i="22"/>
  <c r="H28" i="22"/>
  <c r="D30" i="22"/>
  <c r="J31" i="22"/>
  <c r="F33" i="22"/>
  <c r="B35" i="22"/>
  <c r="E20" i="22"/>
  <c r="K26" i="22"/>
  <c r="D24" i="22"/>
  <c r="C15" i="22"/>
  <c r="E18" i="22"/>
  <c r="H19" i="22"/>
  <c r="I17" i="22"/>
  <c r="B30" i="22"/>
  <c r="E22" i="22"/>
  <c r="G27" i="22"/>
  <c r="H25" i="22"/>
  <c r="G33" i="22"/>
  <c r="E36" i="22"/>
  <c r="E33" i="22"/>
  <c r="F8" i="32"/>
  <c r="C17" i="22"/>
  <c r="K16" i="22"/>
  <c r="H29" i="22"/>
  <c r="B36" i="22"/>
  <c r="C21" i="22"/>
  <c r="I19" i="22"/>
  <c r="I30" i="22"/>
  <c r="B37" i="22"/>
  <c r="F26" i="22"/>
  <c r="I29" i="22"/>
  <c r="C32" i="22"/>
  <c r="J15" i="22"/>
  <c r="C16" i="22"/>
  <c r="I21" i="22"/>
  <c r="D29" i="22"/>
  <c r="F32" i="22"/>
  <c r="H35" i="22"/>
  <c r="G25" i="22"/>
  <c r="E24" i="22"/>
  <c r="B16" i="22"/>
  <c r="F22" i="22"/>
  <c r="I28" i="22"/>
  <c r="K31" i="22"/>
  <c r="C35" i="22"/>
  <c r="B23" i="22"/>
  <c r="J18" i="22"/>
  <c r="C30" i="22"/>
  <c r="K36" i="22"/>
  <c r="G34" i="22"/>
  <c r="G30" i="22"/>
  <c r="F23" i="22"/>
  <c r="K17" i="22"/>
  <c r="D25" i="22"/>
  <c r="I15" i="22"/>
  <c r="K18" i="22"/>
  <c r="K20" i="22"/>
  <c r="G26" i="22"/>
  <c r="B29" i="22"/>
  <c r="H30" i="22"/>
  <c r="D32" i="22"/>
  <c r="J33" i="22"/>
  <c r="F35" i="22"/>
  <c r="I26" i="22"/>
  <c r="F19" i="22"/>
  <c r="J25" i="22"/>
  <c r="K15" i="22"/>
  <c r="C19" i="22"/>
  <c r="D21" i="22"/>
  <c r="H18" i="22"/>
  <c r="H31" i="22"/>
  <c r="I24" i="22"/>
  <c r="D15" i="22"/>
  <c r="I27" i="22"/>
  <c r="I34" i="22"/>
  <c r="D17" i="22"/>
  <c r="I35" i="22"/>
  <c r="J24" i="22"/>
  <c r="F17" i="22"/>
  <c r="B17" i="22"/>
  <c r="D31" i="22"/>
  <c r="I20" i="22"/>
  <c r="K25" i="22"/>
  <c r="B24" i="22"/>
  <c r="I32" i="22"/>
  <c r="D26" i="22"/>
  <c r="I31" i="22"/>
  <c r="C19" i="2"/>
  <c r="D20" i="22"/>
  <c r="B22" i="22"/>
  <c r="K23" i="25"/>
  <c r="E35" i="25"/>
  <c r="K17" i="25"/>
  <c r="E16" i="22"/>
  <c r="H21" i="22"/>
  <c r="K35" i="22"/>
  <c r="H17" i="22"/>
  <c r="F34" i="22"/>
  <c r="K28" i="22"/>
  <c r="K32" i="22"/>
  <c r="K21" i="22"/>
  <c r="E21" i="22"/>
  <c r="J34" i="22"/>
  <c r="F24" i="22"/>
  <c r="G17" i="22"/>
  <c r="H22" i="22"/>
  <c r="R15" i="10"/>
  <c r="B33" i="22"/>
  <c r="J29" i="22"/>
  <c r="C24" i="22"/>
  <c r="E17" i="22"/>
  <c r="I18" i="22"/>
  <c r="G20" i="22"/>
  <c r="F16" i="22"/>
  <c r="B20" i="22"/>
  <c r="G35" i="22"/>
  <c r="C29" i="22"/>
  <c r="J16" i="22"/>
  <c r="E26" i="22"/>
  <c r="H33" i="22"/>
  <c r="B26" i="22"/>
  <c r="J33" i="25"/>
  <c r="E25" i="25"/>
  <c r="J25" i="25"/>
  <c r="D31" i="25"/>
  <c r="K28" i="25"/>
  <c r="G23" i="25"/>
  <c r="B18" i="22"/>
  <c r="C22" i="22"/>
  <c r="G29" i="22"/>
  <c r="C27" i="22"/>
  <c r="H27" i="22"/>
  <c r="D28" i="22"/>
  <c r="E29" i="22"/>
  <c r="G31" i="22"/>
  <c r="J23" i="22"/>
  <c r="F28" i="22"/>
  <c r="D18" i="22"/>
  <c r="H20" i="22"/>
  <c r="I33" i="22"/>
  <c r="H34" i="22"/>
  <c r="F31" i="22"/>
  <c r="C28" i="22"/>
  <c r="J17" i="22"/>
  <c r="B25" i="22"/>
  <c r="C36" i="22"/>
  <c r="K30" i="22"/>
  <c r="C25" i="22"/>
  <c r="E32" i="22"/>
  <c r="K22" i="22"/>
  <c r="F25" i="22"/>
  <c r="K19" i="22"/>
  <c r="F30" i="22"/>
  <c r="G18" i="22"/>
  <c r="T53" i="5"/>
  <c r="D86" i="11"/>
  <c r="C61" i="1"/>
  <c r="I33" i="36"/>
  <c r="E6" i="26"/>
  <c r="E14" i="26" s="1"/>
  <c r="L12" i="36"/>
  <c r="N12" i="36" s="1"/>
  <c r="H5" i="29"/>
  <c r="F5" i="29" s="1"/>
  <c r="F41" i="5"/>
  <c r="H12" i="29"/>
  <c r="F12" i="29" s="1"/>
  <c r="E18" i="5"/>
  <c r="G18" i="5" s="1"/>
  <c r="E15" i="25"/>
  <c r="I31" i="25"/>
  <c r="K25" i="25"/>
  <c r="C25" i="25"/>
  <c r="K15" i="25"/>
  <c r="H16" i="25"/>
  <c r="G20" i="25"/>
  <c r="H22" i="25"/>
  <c r="F19" i="25"/>
  <c r="C22" i="25"/>
  <c r="K33" i="25"/>
  <c r="D30" i="25"/>
  <c r="E17" i="25"/>
  <c r="C29" i="25"/>
  <c r="K21" i="25"/>
  <c r="I29" i="25"/>
  <c r="G28" i="25"/>
  <c r="D27" i="25"/>
  <c r="E34" i="25"/>
  <c r="G27" i="25"/>
  <c r="G33" i="25"/>
  <c r="F32" i="25"/>
  <c r="B18" i="25"/>
  <c r="I28" i="25"/>
  <c r="D23" i="25"/>
  <c r="B27" i="25"/>
  <c r="I24" i="25"/>
  <c r="D16" i="25"/>
  <c r="F18" i="25"/>
  <c r="H17" i="25"/>
  <c r="B25" i="25"/>
  <c r="I32" i="25"/>
  <c r="F36" i="25"/>
  <c r="J31" i="25"/>
  <c r="H18" i="25"/>
  <c r="E18" i="25"/>
  <c r="C28" i="25"/>
  <c r="J24" i="25"/>
  <c r="J30" i="25"/>
  <c r="G24" i="25"/>
  <c r="D33" i="25"/>
  <c r="F34" i="25"/>
  <c r="F25" i="25"/>
  <c r="H31" i="25"/>
  <c r="D25" i="25"/>
  <c r="C18" i="25"/>
  <c r="G17" i="25"/>
  <c r="K35" i="25"/>
  <c r="C31" i="25"/>
  <c r="J17" i="25"/>
  <c r="J32" i="25"/>
  <c r="E33" i="25"/>
  <c r="F15" i="25"/>
  <c r="K30" i="25"/>
  <c r="J20" i="25"/>
  <c r="J26" i="25"/>
  <c r="C15" i="25"/>
  <c r="D32" i="25"/>
  <c r="H23" i="25"/>
  <c r="B26" i="25"/>
  <c r="K32" i="25"/>
  <c r="C32" i="25"/>
  <c r="F24" i="25"/>
  <c r="G32" i="25"/>
  <c r="E21" i="25"/>
  <c r="D24" i="25"/>
  <c r="B22" i="25"/>
  <c r="F29" i="25"/>
  <c r="J29" i="25"/>
  <c r="C20" i="25"/>
  <c r="J15" i="25"/>
  <c r="I35" i="25"/>
  <c r="F17" i="25"/>
  <c r="B33" i="25"/>
  <c r="D36" i="25"/>
  <c r="B32" i="25"/>
  <c r="I19" i="25"/>
  <c r="G16" i="25"/>
  <c r="G18" i="25"/>
  <c r="F28" i="25"/>
  <c r="J28" i="25"/>
  <c r="D15" i="25"/>
  <c r="B17" i="25"/>
  <c r="G30" i="25"/>
  <c r="B31" i="25"/>
  <c r="E32" i="25"/>
  <c r="F26" i="25"/>
  <c r="H34" i="25"/>
  <c r="J22" i="25"/>
  <c r="D19" i="25"/>
  <c r="J18" i="25"/>
  <c r="C27" i="25"/>
  <c r="K26" i="25"/>
  <c r="K16" i="25"/>
  <c r="D20" i="25"/>
  <c r="C33" i="25"/>
  <c r="F20" i="25"/>
  <c r="I36" i="25"/>
  <c r="H24" i="25"/>
  <c r="B23" i="25"/>
  <c r="D26" i="25"/>
  <c r="I27" i="25"/>
  <c r="G22" i="25"/>
  <c r="E31" i="25"/>
  <c r="C30" i="25"/>
  <c r="F31" i="25"/>
  <c r="E22" i="25"/>
  <c r="I25" i="25"/>
  <c r="D22" i="25"/>
  <c r="I26" i="25"/>
  <c r="G29" i="25"/>
  <c r="I21" i="25"/>
  <c r="B21" i="25"/>
  <c r="G26" i="25"/>
  <c r="I18" i="25"/>
  <c r="G31" i="25"/>
  <c r="H20" i="25"/>
  <c r="G34" i="25"/>
  <c r="K29" i="25"/>
  <c r="B36" i="25"/>
  <c r="F22" i="25"/>
  <c r="E27" i="25"/>
  <c r="I16" i="25"/>
  <c r="K24" i="25"/>
  <c r="E23" i="25"/>
  <c r="H21" i="25"/>
  <c r="F35" i="25"/>
  <c r="F33" i="25"/>
  <c r="G21" i="25"/>
  <c r="H26" i="25"/>
  <c r="B20" i="25"/>
  <c r="I23" i="25"/>
  <c r="E30" i="25"/>
  <c r="B34" i="25"/>
  <c r="H32" i="25"/>
  <c r="E16" i="25"/>
  <c r="E19" i="25"/>
  <c r="C34" i="25"/>
  <c r="C17" i="25"/>
  <c r="H27" i="25"/>
  <c r="K36" i="25"/>
  <c r="H36" i="25"/>
  <c r="I17" i="25"/>
  <c r="O31" i="10"/>
  <c r="G35" i="25"/>
  <c r="E24" i="25"/>
  <c r="B24" i="25"/>
  <c r="D34" i="25"/>
  <c r="J19" i="25"/>
  <c r="F30" i="25"/>
  <c r="I20" i="25"/>
  <c r="G25" i="25"/>
  <c r="H25" i="25"/>
  <c r="C23" i="25"/>
  <c r="G19" i="25"/>
  <c r="D21" i="25"/>
  <c r="E29" i="25"/>
  <c r="F27" i="25"/>
  <c r="F21" i="25"/>
  <c r="D28" i="25"/>
  <c r="J34" i="25"/>
  <c r="J35" i="25"/>
  <c r="H28" i="25"/>
  <c r="B16" i="25"/>
  <c r="B28" i="25"/>
  <c r="D17" i="25"/>
  <c r="C16" i="25"/>
  <c r="H30" i="25"/>
  <c r="B29" i="25"/>
  <c r="E28" i="25"/>
  <c r="F23" i="25"/>
  <c r="G36" i="25"/>
  <c r="H33" i="25"/>
  <c r="D18" i="25"/>
  <c r="C19" i="25"/>
  <c r="H29" i="25"/>
  <c r="C26" i="25"/>
  <c r="L13" i="36"/>
  <c r="L14" i="36" s="1"/>
  <c r="L15" i="36" s="1"/>
  <c r="N15" i="36" s="1"/>
  <c r="Q8" i="6"/>
  <c r="F21" i="30"/>
  <c r="H15" i="30"/>
  <c r="H14" i="30" s="1"/>
  <c r="U6" i="6"/>
  <c r="U19" i="6" s="1"/>
  <c r="F10" i="25"/>
  <c r="I14" i="25"/>
  <c r="I9" i="25"/>
  <c r="G12" i="25"/>
  <c r="E14" i="25"/>
  <c r="E9" i="25"/>
  <c r="G7" i="25"/>
  <c r="B12" i="25"/>
  <c r="K7" i="25"/>
  <c r="O6" i="6"/>
  <c r="E15" i="30"/>
  <c r="E14" i="30" s="1"/>
  <c r="J15" i="30"/>
  <c r="J14" i="30" s="1"/>
  <c r="C35" i="25"/>
  <c r="C24" i="25"/>
  <c r="I33" i="25"/>
  <c r="K18" i="25"/>
  <c r="Q19" i="3"/>
  <c r="Q17" i="3"/>
  <c r="K39" i="3" s="1"/>
  <c r="K43" i="3" s="1"/>
  <c r="J21" i="3"/>
  <c r="K41" i="3"/>
  <c r="B48" i="3" s="1"/>
  <c r="C6" i="2"/>
  <c r="L6" i="10" s="1"/>
  <c r="H39" i="3"/>
  <c r="D46" i="3"/>
  <c r="C8" i="1"/>
  <c r="E8" i="1" s="1"/>
  <c r="C62" i="1" s="1"/>
  <c r="J12" i="29"/>
  <c r="V9" i="8"/>
  <c r="C5" i="10" s="1"/>
  <c r="F42" i="5"/>
  <c r="G42" i="5" s="1"/>
  <c r="E26" i="25"/>
  <c r="L16" i="26"/>
  <c r="D8" i="26" s="1"/>
  <c r="H13" i="25"/>
  <c r="F19" i="3"/>
  <c r="D9" i="26"/>
  <c r="F13" i="25" l="1"/>
  <c r="D10" i="25"/>
  <c r="H11" i="25"/>
  <c r="B8" i="25"/>
  <c r="J12" i="25"/>
  <c r="D8" i="25"/>
  <c r="D9" i="25"/>
  <c r="B11" i="25"/>
  <c r="E7" i="25"/>
  <c r="C13" i="25"/>
  <c r="J10" i="25"/>
  <c r="E12" i="25"/>
  <c r="J9" i="25"/>
  <c r="F12" i="25"/>
  <c r="B10" i="25"/>
  <c r="G9" i="25"/>
  <c r="F9" i="25"/>
  <c r="J7" i="25"/>
  <c r="E11" i="25"/>
  <c r="I10" i="25"/>
  <c r="J14" i="25"/>
  <c r="J13" i="25"/>
  <c r="D12" i="25"/>
  <c r="E13" i="25"/>
  <c r="C10" i="25"/>
  <c r="K12" i="25"/>
  <c r="K10" i="25"/>
  <c r="I7" i="25"/>
  <c r="B9" i="25"/>
  <c r="K8" i="25"/>
  <c r="C14" i="25"/>
  <c r="H12" i="25"/>
  <c r="K9" i="25"/>
  <c r="H7" i="25"/>
  <c r="B13" i="25"/>
  <c r="G13" i="25"/>
  <c r="H8" i="25"/>
  <c r="C8" i="25"/>
  <c r="G11" i="25"/>
  <c r="G14" i="25"/>
  <c r="I13" i="25"/>
  <c r="F7" i="25"/>
  <c r="D11" i="25"/>
  <c r="J11" i="25"/>
  <c r="B7" i="25"/>
  <c r="K13" i="25"/>
  <c r="G8" i="25"/>
  <c r="K14" i="25"/>
  <c r="C9" i="25"/>
  <c r="H14" i="25"/>
  <c r="B15" i="25"/>
  <c r="B14" i="25"/>
  <c r="E8" i="25"/>
  <c r="G10" i="25"/>
  <c r="D7" i="25"/>
  <c r="H10" i="25"/>
  <c r="I12" i="25"/>
  <c r="K11" i="25"/>
  <c r="I8" i="25"/>
  <c r="F14" i="25"/>
  <c r="E10" i="25"/>
  <c r="H9" i="25"/>
  <c r="C7" i="25"/>
  <c r="D13" i="25"/>
  <c r="D14" i="25"/>
  <c r="N30" i="10"/>
  <c r="D22" i="23"/>
  <c r="J32" i="23"/>
  <c r="K33" i="23"/>
  <c r="G19" i="23"/>
  <c r="C12" i="25"/>
  <c r="C29" i="23"/>
  <c r="G20" i="23"/>
  <c r="J29" i="23"/>
  <c r="G17" i="23"/>
  <c r="H17" i="23"/>
  <c r="D20" i="23"/>
  <c r="I32" i="23"/>
  <c r="D31" i="23"/>
  <c r="I35" i="23"/>
  <c r="D15" i="23"/>
  <c r="D21" i="23"/>
  <c r="F19" i="23"/>
  <c r="D32" i="23"/>
  <c r="K20" i="23"/>
  <c r="K17" i="23"/>
  <c r="K36" i="23"/>
  <c r="C35" i="23"/>
  <c r="B16" i="23"/>
  <c r="F32" i="23"/>
  <c r="J15" i="23"/>
  <c r="B37" i="23"/>
  <c r="B36" i="23"/>
  <c r="H25" i="23"/>
  <c r="I17" i="23"/>
  <c r="D24" i="23"/>
  <c r="F33" i="23"/>
  <c r="I25" i="23"/>
  <c r="F20" i="23"/>
  <c r="K34" i="23"/>
  <c r="E34" i="23"/>
  <c r="I36" i="23"/>
  <c r="B32" i="23"/>
  <c r="E35" i="23"/>
  <c r="H32" i="23"/>
  <c r="H23" i="23"/>
  <c r="J35" i="23"/>
  <c r="D23" i="23"/>
  <c r="J36" i="23"/>
  <c r="K24" i="23"/>
  <c r="H24" i="23"/>
  <c r="F15" i="23"/>
  <c r="F30" i="23"/>
  <c r="E32" i="23"/>
  <c r="B25" i="23"/>
  <c r="H34" i="23"/>
  <c r="F28" i="23"/>
  <c r="D28" i="23"/>
  <c r="C22" i="23"/>
  <c r="B26" i="23"/>
  <c r="K21" i="23"/>
  <c r="I11" i="25"/>
  <c r="F11" i="25"/>
  <c r="F8" i="25"/>
  <c r="J8" i="25"/>
  <c r="C11" i="25"/>
  <c r="B34" i="23"/>
  <c r="E25" i="23"/>
  <c r="K19" i="23"/>
  <c r="C25" i="23"/>
  <c r="J17" i="23"/>
  <c r="I33" i="23"/>
  <c r="J23" i="23"/>
  <c r="H27" i="23"/>
  <c r="B18" i="23"/>
  <c r="H33" i="23"/>
  <c r="G35" i="23"/>
  <c r="I18" i="23"/>
  <c r="B33" i="23"/>
  <c r="F24" i="23"/>
  <c r="K32" i="23"/>
  <c r="K35" i="23"/>
  <c r="B24" i="23"/>
  <c r="B17" i="23"/>
  <c r="D17" i="23"/>
  <c r="I24" i="23"/>
  <c r="C19" i="23"/>
  <c r="I26" i="23"/>
  <c r="H30" i="23"/>
  <c r="K18" i="23"/>
  <c r="F23" i="23"/>
  <c r="C30" i="23"/>
  <c r="K31" i="23"/>
  <c r="E24" i="23"/>
  <c r="D29" i="23"/>
  <c r="C32" i="23"/>
  <c r="I30" i="23"/>
  <c r="H29" i="23"/>
  <c r="E33" i="23"/>
  <c r="G27" i="23"/>
  <c r="H19" i="23"/>
  <c r="K26" i="23"/>
  <c r="J31" i="23"/>
  <c r="E19" i="23"/>
  <c r="G15" i="23"/>
  <c r="G28" i="23"/>
  <c r="C31" i="23"/>
  <c r="I22" i="23"/>
  <c r="J28" i="23"/>
  <c r="G22" i="23"/>
  <c r="H26" i="23"/>
  <c r="D36" i="23"/>
  <c r="C26" i="23"/>
  <c r="B28" i="23"/>
  <c r="G36" i="23"/>
  <c r="F29" i="23"/>
  <c r="K29" i="23"/>
  <c r="C23" i="23"/>
  <c r="F27" i="23"/>
  <c r="E28" i="23"/>
  <c r="F18" i="23"/>
  <c r="E23" i="23"/>
  <c r="I14" i="23"/>
  <c r="E14" i="23"/>
  <c r="K13" i="23"/>
  <c r="G13" i="23"/>
  <c r="C13" i="23"/>
  <c r="I12" i="23"/>
  <c r="E12" i="23"/>
  <c r="K11" i="23"/>
  <c r="G11" i="23"/>
  <c r="C11" i="23"/>
  <c r="I10" i="23"/>
  <c r="E10" i="23"/>
  <c r="K9" i="23"/>
  <c r="G9" i="23"/>
  <c r="C9" i="23"/>
  <c r="I8" i="23"/>
  <c r="E8" i="23"/>
  <c r="K7" i="23"/>
  <c r="G7" i="23"/>
  <c r="C7" i="23"/>
  <c r="F25" i="23"/>
  <c r="K30" i="23"/>
  <c r="C28" i="23"/>
  <c r="H20" i="23"/>
  <c r="G31" i="23"/>
  <c r="C27" i="23"/>
  <c r="E26" i="23"/>
  <c r="B20" i="23"/>
  <c r="E17" i="23"/>
  <c r="J34" i="23"/>
  <c r="K28" i="23"/>
  <c r="H21" i="23"/>
  <c r="I31" i="23"/>
  <c r="K25" i="23"/>
  <c r="F17" i="23"/>
  <c r="I34" i="23"/>
  <c r="H31" i="23"/>
  <c r="K15" i="23"/>
  <c r="F35" i="23"/>
  <c r="B29" i="23"/>
  <c r="I15" i="23"/>
  <c r="G30" i="23"/>
  <c r="J18" i="23"/>
  <c r="I28" i="23"/>
  <c r="G25" i="23"/>
  <c r="I21" i="23"/>
  <c r="I29" i="23"/>
  <c r="I19" i="23"/>
  <c r="K16" i="23"/>
  <c r="E36" i="23"/>
  <c r="E22" i="23"/>
  <c r="E18" i="23"/>
  <c r="E20" i="23"/>
  <c r="D30" i="23"/>
  <c r="C18" i="23"/>
  <c r="H36" i="23"/>
  <c r="H15" i="23"/>
  <c r="D27" i="23"/>
  <c r="K23" i="23"/>
  <c r="C20" i="23"/>
  <c r="J30" i="23"/>
  <c r="B21" i="23"/>
  <c r="B19" i="23"/>
  <c r="C34" i="23"/>
  <c r="D33" i="23"/>
  <c r="G16" i="23"/>
  <c r="K27" i="23"/>
  <c r="J21" i="23"/>
  <c r="D34" i="23"/>
  <c r="G24" i="23"/>
  <c r="B27" i="23"/>
  <c r="G23" i="23"/>
  <c r="D16" i="23"/>
  <c r="G18" i="23"/>
  <c r="K22" i="23"/>
  <c r="C36" i="23"/>
  <c r="F31" i="23"/>
  <c r="D18" i="23"/>
  <c r="E29" i="23"/>
  <c r="G29" i="23"/>
  <c r="J16" i="23"/>
  <c r="F16" i="23"/>
  <c r="C24" i="23"/>
  <c r="H22" i="23"/>
  <c r="E21" i="23"/>
  <c r="F34" i="23"/>
  <c r="E16" i="23"/>
  <c r="B22" i="23"/>
  <c r="D26" i="23"/>
  <c r="I20" i="23"/>
  <c r="J24" i="23"/>
  <c r="I27" i="23"/>
  <c r="H18" i="23"/>
  <c r="J25" i="23"/>
  <c r="J33" i="23"/>
  <c r="G26" i="23"/>
  <c r="D25" i="23"/>
  <c r="G34" i="23"/>
  <c r="B23" i="23"/>
  <c r="F22" i="23"/>
  <c r="H35" i="23"/>
  <c r="C16" i="23"/>
  <c r="F26" i="23"/>
  <c r="C21" i="23"/>
  <c r="C17" i="23"/>
  <c r="G33" i="23"/>
  <c r="B30" i="23"/>
  <c r="C15" i="23"/>
  <c r="B35" i="23"/>
  <c r="H28" i="23"/>
  <c r="F21" i="23"/>
  <c r="E31" i="23"/>
  <c r="J19" i="23"/>
  <c r="J20" i="23"/>
  <c r="D35" i="23"/>
  <c r="E15" i="23"/>
  <c r="C33" i="23"/>
  <c r="D19" i="23"/>
  <c r="B31" i="23"/>
  <c r="G32" i="23"/>
  <c r="F36" i="23"/>
  <c r="I16" i="23"/>
  <c r="J26" i="23"/>
  <c r="E30" i="23"/>
  <c r="E27" i="23"/>
  <c r="G21" i="23"/>
  <c r="J22" i="23"/>
  <c r="I23" i="23"/>
  <c r="C12" i="23"/>
  <c r="E9" i="23"/>
  <c r="G13" i="6"/>
  <c r="D16" i="6" s="1"/>
  <c r="N13" i="36"/>
  <c r="AC23" i="6"/>
  <c r="M7" i="6"/>
  <c r="D18" i="30"/>
  <c r="F43" i="5"/>
  <c r="F44" i="5" s="1"/>
  <c r="K27" i="3"/>
  <c r="K37" i="3"/>
  <c r="K35" i="3"/>
  <c r="K33" i="3"/>
  <c r="K31" i="3"/>
  <c r="K29" i="3"/>
  <c r="C7" i="2"/>
  <c r="L8" i="10" s="1"/>
  <c r="AA6" i="8"/>
  <c r="C8" i="2"/>
  <c r="L10" i="10" s="1"/>
  <c r="D5" i="2"/>
  <c r="H47" i="5"/>
  <c r="H42" i="5"/>
  <c r="H41" i="5"/>
  <c r="G41" i="5"/>
  <c r="H65" i="32"/>
  <c r="P73" i="6"/>
  <c r="P74" i="6"/>
  <c r="P72" i="6"/>
  <c r="P71" i="6"/>
  <c r="AA9" i="8"/>
  <c r="E14" i="2"/>
  <c r="L32" i="10"/>
  <c r="Q72" i="6"/>
  <c r="O19" i="6"/>
  <c r="AB24" i="5"/>
  <c r="AC5" i="6" s="1"/>
  <c r="Z24" i="5"/>
  <c r="J12" i="30" s="1"/>
  <c r="J11" i="30" s="1"/>
  <c r="Z26" i="5"/>
  <c r="J18" i="30" s="1"/>
  <c r="J17" i="30" s="1"/>
  <c r="AA32" i="5"/>
  <c r="H40" i="5"/>
  <c r="J5" i="29" s="1"/>
  <c r="E22" i="30"/>
  <c r="V30" i="5"/>
  <c r="Q11" i="6" s="1"/>
  <c r="N23" i="28"/>
  <c r="H16" i="30"/>
  <c r="U29" i="5"/>
  <c r="O10" i="6" s="1"/>
  <c r="O27" i="6" s="1"/>
  <c r="H12" i="28"/>
  <c r="J22" i="30"/>
  <c r="J7" i="30"/>
  <c r="E31" i="5"/>
  <c r="AB22" i="5"/>
  <c r="L9" i="30" s="1"/>
  <c r="L8" i="30" s="1"/>
  <c r="F24" i="30"/>
  <c r="F23" i="30" s="1"/>
  <c r="Q13" i="6"/>
  <c r="Q22" i="6" s="1"/>
  <c r="F24" i="28"/>
  <c r="F26" i="28" s="1"/>
  <c r="N24" i="28"/>
  <c r="L22" i="30"/>
  <c r="AA26" i="5"/>
  <c r="K18" i="30" s="1"/>
  <c r="K17" i="30" s="1"/>
  <c r="X32" i="5"/>
  <c r="U13" i="6" s="1"/>
  <c r="U22" i="6" s="1"/>
  <c r="H7" i="30"/>
  <c r="J45" i="5"/>
  <c r="M17" i="28"/>
  <c r="Q18" i="6"/>
  <c r="F7" i="30"/>
  <c r="U18" i="6"/>
  <c r="AC89" i="6"/>
  <c r="AC95" i="6" s="1"/>
  <c r="AC29" i="6"/>
  <c r="Z33" i="5"/>
  <c r="Y14" i="6" s="1"/>
  <c r="Y23" i="6" s="1"/>
  <c r="W29" i="6"/>
  <c r="S24" i="6"/>
  <c r="M5" i="28"/>
  <c r="G22" i="28"/>
  <c r="G20" i="28" s="1"/>
  <c r="AB28" i="5"/>
  <c r="AC9" i="6" s="1"/>
  <c r="AC26" i="6" s="1"/>
  <c r="Y22" i="6"/>
  <c r="W26" i="5"/>
  <c r="S7" i="6" s="1"/>
  <c r="S20" i="6" s="1"/>
  <c r="S29" i="5"/>
  <c r="I11" i="28"/>
  <c r="Y29" i="5"/>
  <c r="K16" i="28" s="1"/>
  <c r="K14" i="28" s="1"/>
  <c r="H5" i="28"/>
  <c r="W29" i="5"/>
  <c r="I16" i="28" s="1"/>
  <c r="I14" i="28" s="1"/>
  <c r="AE9" i="6"/>
  <c r="F16" i="28"/>
  <c r="F14" i="28" s="1"/>
  <c r="S88" i="6"/>
  <c r="S94" i="6" s="1"/>
  <c r="I19" i="30"/>
  <c r="O95" i="6"/>
  <c r="F12" i="28"/>
  <c r="I28" i="28"/>
  <c r="I26" i="28" s="1"/>
  <c r="S12" i="6"/>
  <c r="S29" i="6" s="1"/>
  <c r="W24" i="5"/>
  <c r="S5" i="6" s="1"/>
  <c r="S18" i="6" s="1"/>
  <c r="Y88" i="6"/>
  <c r="Y94" i="6" s="1"/>
  <c r="D16" i="2"/>
  <c r="N32" i="10" s="1"/>
  <c r="AA7" i="8"/>
  <c r="D14" i="2"/>
  <c r="D97" i="22" s="1"/>
  <c r="D97" i="23" s="1"/>
  <c r="K28" i="28"/>
  <c r="K26" i="28" s="1"/>
  <c r="I24" i="28"/>
  <c r="V33" i="5"/>
  <c r="Q14" i="6" s="1"/>
  <c r="Q23" i="6" s="1"/>
  <c r="AC18" i="6"/>
  <c r="I16" i="30"/>
  <c r="L12" i="28"/>
  <c r="J11" i="28"/>
  <c r="Y30" i="5"/>
  <c r="U36" i="5"/>
  <c r="G10" i="28" s="1"/>
  <c r="G8" i="28" s="1"/>
  <c r="N28" i="28"/>
  <c r="N26" i="28" s="1"/>
  <c r="G22" i="36"/>
  <c r="D22" i="36" s="1"/>
  <c r="K6" i="28"/>
  <c r="AA31" i="5"/>
  <c r="N18" i="28"/>
  <c r="M6" i="28"/>
  <c r="V31" i="5"/>
  <c r="Y7" i="8"/>
  <c r="S32" i="5"/>
  <c r="T38" i="5"/>
  <c r="F9" i="28" s="1"/>
  <c r="F7" i="28" s="1"/>
  <c r="X39" i="5"/>
  <c r="J21" i="28" s="1"/>
  <c r="J19" i="28" s="1"/>
  <c r="X33" i="5"/>
  <c r="AC24" i="6"/>
  <c r="Y24" i="6"/>
  <c r="Q24" i="6"/>
  <c r="L16" i="28"/>
  <c r="L14" i="28" s="1"/>
  <c r="Y10" i="6"/>
  <c r="Y27" i="6" s="1"/>
  <c r="AE6" i="6"/>
  <c r="U28" i="6"/>
  <c r="O72" i="6"/>
  <c r="O11" i="6"/>
  <c r="O28" i="6" s="1"/>
  <c r="S47" i="5"/>
  <c r="N12" i="28"/>
  <c r="Q28" i="6"/>
  <c r="K10" i="28"/>
  <c r="K8" i="28" s="1"/>
  <c r="F22" i="28"/>
  <c r="F20" i="28" s="1"/>
  <c r="M89" i="6"/>
  <c r="I25" i="30"/>
  <c r="X36" i="5"/>
  <c r="O75" i="6"/>
  <c r="AA27" i="5"/>
  <c r="F18" i="28"/>
  <c r="D12" i="30"/>
  <c r="M13" i="6"/>
  <c r="M22" i="6" s="1"/>
  <c r="J24" i="30"/>
  <c r="J23" i="30" s="1"/>
  <c r="Y4" i="6"/>
  <c r="Y17" i="6" s="1"/>
  <c r="W27" i="5"/>
  <c r="AA14" i="6"/>
  <c r="AA23" i="6" s="1"/>
  <c r="M12" i="6"/>
  <c r="M29" i="6" s="1"/>
  <c r="D17" i="30"/>
  <c r="I10" i="30"/>
  <c r="V28" i="5"/>
  <c r="A6" i="5"/>
  <c r="G6" i="5" s="1"/>
  <c r="T6" i="8" s="1"/>
  <c r="V6" i="8" s="1"/>
  <c r="C7" i="10" s="1"/>
  <c r="AA88" i="6"/>
  <c r="AA94" i="6" s="1"/>
  <c r="M10" i="28"/>
  <c r="M8" i="28" s="1"/>
  <c r="E24" i="30"/>
  <c r="E23" i="30" s="1"/>
  <c r="O13" i="6"/>
  <c r="O22" i="6" s="1"/>
  <c r="L24" i="30"/>
  <c r="L23" i="30" s="1"/>
  <c r="AC13" i="6"/>
  <c r="AC22" i="6" s="1"/>
  <c r="D8" i="10"/>
  <c r="K6" i="10"/>
  <c r="AC10" i="6"/>
  <c r="AC27" i="6" s="1"/>
  <c r="N16" i="28"/>
  <c r="N14" i="28" s="1"/>
  <c r="U9" i="6"/>
  <c r="U26" i="6" s="1"/>
  <c r="J15" i="28"/>
  <c r="J13" i="28" s="1"/>
  <c r="AA95" i="6"/>
  <c r="AC49" i="5"/>
  <c r="Z39" i="5"/>
  <c r="L21" i="28" s="1"/>
  <c r="L19" i="28" s="1"/>
  <c r="D7" i="2"/>
  <c r="M8" i="10" s="1"/>
  <c r="G18" i="28"/>
  <c r="J27" i="30"/>
  <c r="J26" i="30" s="1"/>
  <c r="L27" i="30"/>
  <c r="L26" i="30" s="1"/>
  <c r="K17" i="28"/>
  <c r="K18" i="28"/>
  <c r="I6" i="28"/>
  <c r="G11" i="28"/>
  <c r="I17" i="28"/>
  <c r="L25" i="30"/>
  <c r="W89" i="6"/>
  <c r="W95" i="6" s="1"/>
  <c r="D22" i="30"/>
  <c r="D23" i="30" s="1"/>
  <c r="H21" i="30"/>
  <c r="H20" i="30" s="1"/>
  <c r="U8" i="6"/>
  <c r="U21" i="6" s="1"/>
  <c r="U12" i="6"/>
  <c r="U29" i="6" s="1"/>
  <c r="J28" i="28"/>
  <c r="J26" i="28" s="1"/>
  <c r="Q10" i="6"/>
  <c r="Q27" i="6" s="1"/>
  <c r="H16" i="28"/>
  <c r="H14" i="28" s="1"/>
  <c r="AA9" i="6"/>
  <c r="AA26" i="6" s="1"/>
  <c r="M15" i="28"/>
  <c r="M13" i="28" s="1"/>
  <c r="I27" i="30"/>
  <c r="I26" i="30" s="1"/>
  <c r="W14" i="6"/>
  <c r="W23" i="6" s="1"/>
  <c r="O12" i="6"/>
  <c r="O29" i="6" s="1"/>
  <c r="G28" i="28"/>
  <c r="G26" i="28" s="1"/>
  <c r="E8" i="10"/>
  <c r="S48" i="5"/>
  <c r="AB38" i="5"/>
  <c r="N9" i="28" s="1"/>
  <c r="N7" i="28" s="1"/>
  <c r="M18" i="28"/>
  <c r="J24" i="28"/>
  <c r="G24" i="28"/>
  <c r="F6" i="28"/>
  <c r="H19" i="30"/>
  <c r="Y8" i="6"/>
  <c r="Y21" i="6" s="1"/>
  <c r="Y19" i="6"/>
  <c r="K25" i="30"/>
  <c r="AE7" i="6"/>
  <c r="B16" i="6"/>
  <c r="G16" i="6" s="1"/>
  <c r="D9" i="4" s="1"/>
  <c r="G9" i="8" s="1"/>
  <c r="N32" i="8" s="1"/>
  <c r="N33" i="8" s="1"/>
  <c r="AC47" i="5"/>
  <c r="E32" i="5"/>
  <c r="O73" i="6"/>
  <c r="S31" i="5"/>
  <c r="M88" i="6"/>
  <c r="M94" i="6" s="1"/>
  <c r="S9" i="6"/>
  <c r="S26" i="6" s="1"/>
  <c r="E16" i="30"/>
  <c r="S39" i="5"/>
  <c r="AA24" i="5"/>
  <c r="K12" i="30" s="1"/>
  <c r="K11" i="30" s="1"/>
  <c r="G23" i="28"/>
  <c r="AB26" i="5"/>
  <c r="L18" i="30" s="1"/>
  <c r="L17" i="30" s="1"/>
  <c r="S26" i="5"/>
  <c r="S50" i="5"/>
  <c r="AE8" i="6"/>
  <c r="N17" i="28"/>
  <c r="M11" i="28"/>
  <c r="AE12" i="6"/>
  <c r="D6" i="2"/>
  <c r="AC44" i="5"/>
  <c r="AC50" i="5"/>
  <c r="AC48" i="5"/>
  <c r="Q94" i="6"/>
  <c r="W21" i="6"/>
  <c r="G49" i="6"/>
  <c r="B49" i="6" s="1"/>
  <c r="Q21" i="6"/>
  <c r="K12" i="10"/>
  <c r="Q75" i="6"/>
  <c r="AC43" i="5"/>
  <c r="V39" i="5"/>
  <c r="H21" i="28" s="1"/>
  <c r="H19" i="28" s="1"/>
  <c r="E24" i="5"/>
  <c r="E23" i="5" s="1"/>
  <c r="G22" i="30"/>
  <c r="J23" i="28"/>
  <c r="D10" i="30"/>
  <c r="I21" i="30"/>
  <c r="I20" i="30" s="1"/>
  <c r="Y38" i="5"/>
  <c r="K9" i="28" s="1"/>
  <c r="K7" i="28" s="1"/>
  <c r="M27" i="6"/>
  <c r="W37" i="5"/>
  <c r="S89" i="6" s="1"/>
  <c r="S95" i="6" s="1"/>
  <c r="S19" i="6"/>
  <c r="AE10" i="6"/>
  <c r="D8" i="2"/>
  <c r="M10" i="10" s="1"/>
  <c r="K9" i="30"/>
  <c r="K8" i="30" s="1"/>
  <c r="AA4" i="6"/>
  <c r="AA17" i="6" s="1"/>
  <c r="G15" i="28"/>
  <c r="G13" i="28" s="1"/>
  <c r="O9" i="6"/>
  <c r="O26" i="6" s="1"/>
  <c r="D25" i="30"/>
  <c r="T33" i="5"/>
  <c r="S33" i="5"/>
  <c r="S43" i="5"/>
  <c r="S30" i="5"/>
  <c r="S27" i="5"/>
  <c r="T39" i="5"/>
  <c r="AC8" i="6"/>
  <c r="AC21" i="6" s="1"/>
  <c r="L19" i="30"/>
  <c r="V42" i="5"/>
  <c r="AC42" i="5" s="1"/>
  <c r="S42" i="5"/>
  <c r="L5" i="28"/>
  <c r="Z38" i="5"/>
  <c r="L9" i="28" s="1"/>
  <c r="L7" i="28" s="1"/>
  <c r="AA30" i="5"/>
  <c r="M23" i="28"/>
  <c r="T30" i="5"/>
  <c r="Q73" i="6"/>
  <c r="W33" i="5"/>
  <c r="G25" i="30"/>
  <c r="E33" i="5"/>
  <c r="Y32" i="5"/>
  <c r="I22" i="30"/>
  <c r="I7" i="30"/>
  <c r="Y22" i="5"/>
  <c r="W22" i="5"/>
  <c r="G7" i="30"/>
  <c r="AA24" i="6"/>
  <c r="W24" i="6"/>
  <c r="O24" i="6"/>
  <c r="O14" i="6"/>
  <c r="O23" i="6" s="1"/>
  <c r="S45" i="5"/>
  <c r="M22" i="28"/>
  <c r="M20" i="28" s="1"/>
  <c r="K7" i="30"/>
  <c r="O79" i="6"/>
  <c r="Z28" i="5"/>
  <c r="W38" i="5"/>
  <c r="I9" i="28" s="1"/>
  <c r="I7" i="28" s="1"/>
  <c r="S37" i="5"/>
  <c r="S24" i="5"/>
  <c r="E10" i="30"/>
  <c r="W32" i="5"/>
  <c r="K24" i="28"/>
  <c r="X37" i="5"/>
  <c r="J18" i="28"/>
  <c r="S49" i="5"/>
  <c r="AB36" i="5"/>
  <c r="N6" i="28"/>
  <c r="W94" i="6"/>
  <c r="I23" i="28"/>
  <c r="W30" i="5"/>
  <c r="M12" i="28"/>
  <c r="AA29" i="5"/>
  <c r="D19" i="30"/>
  <c r="O76" i="6"/>
  <c r="E26" i="5"/>
  <c r="X38" i="5"/>
  <c r="J9" i="28" s="1"/>
  <c r="J7" i="28" s="1"/>
  <c r="J5" i="28"/>
  <c r="Q71" i="6"/>
  <c r="S28" i="5"/>
  <c r="AC11" i="6"/>
  <c r="AC28" i="6" s="1"/>
  <c r="I44" i="22"/>
  <c r="I44" i="23" s="1"/>
  <c r="L12" i="30"/>
  <c r="L11" i="30" s="1"/>
  <c r="S10" i="6"/>
  <c r="S27" i="6" s="1"/>
  <c r="S44" i="5"/>
  <c r="E29" i="5"/>
  <c r="J27" i="28"/>
  <c r="J25" i="28" s="1"/>
  <c r="O4" i="6"/>
  <c r="O17" i="6" s="1"/>
  <c r="E25" i="30"/>
  <c r="S36" i="5"/>
  <c r="S22" i="5"/>
  <c r="E22" i="5"/>
  <c r="H10" i="28"/>
  <c r="H8" i="28" s="1"/>
  <c r="U24" i="5"/>
  <c r="U4" i="6"/>
  <c r="U17" i="6" s="1"/>
  <c r="D7" i="30"/>
  <c r="Q89" i="6"/>
  <c r="Q95" i="6" s="1"/>
  <c r="H6" i="28"/>
  <c r="U39" i="5"/>
  <c r="G21" i="28" s="1"/>
  <c r="G19" i="28" s="1"/>
  <c r="G17" i="28"/>
  <c r="G5" i="28"/>
  <c r="U38" i="5"/>
  <c r="S38" i="5"/>
  <c r="L24" i="28"/>
  <c r="Z31" i="5"/>
  <c r="Z30" i="5"/>
  <c r="L23" i="28"/>
  <c r="Y28" i="5"/>
  <c r="K11" i="28"/>
  <c r="T28" i="5"/>
  <c r="F22" i="30"/>
  <c r="O78" i="6"/>
  <c r="U27" i="5"/>
  <c r="E27" i="5"/>
  <c r="W20" i="6"/>
  <c r="M20" i="6"/>
  <c r="AC19" i="6"/>
  <c r="W19" i="6"/>
  <c r="T27" i="5"/>
  <c r="T22" i="5"/>
  <c r="U24" i="6"/>
  <c r="H7" i="29"/>
  <c r="M12" i="10"/>
  <c r="F6" i="10"/>
  <c r="F11" i="10" s="1"/>
  <c r="F5" i="10" s="1"/>
  <c r="S15" i="10" s="1"/>
  <c r="F20" i="30"/>
  <c r="T45" i="5"/>
  <c r="AC45" i="5" s="1"/>
  <c r="E6" i="10"/>
  <c r="L12" i="10"/>
  <c r="D11" i="10"/>
  <c r="N14" i="36"/>
  <c r="M95" i="6"/>
  <c r="L16" i="36"/>
  <c r="H6" i="29"/>
  <c r="Y89" i="6"/>
  <c r="Y95" i="6" s="1"/>
  <c r="L22" i="28"/>
  <c r="L20" i="28" s="1"/>
  <c r="F9" i="30"/>
  <c r="Q4" i="6"/>
  <c r="Q17" i="6" s="1"/>
  <c r="H19" i="25"/>
  <c r="K22" i="25"/>
  <c r="F16" i="25"/>
  <c r="J36" i="25"/>
  <c r="C36" i="25"/>
  <c r="E20" i="25"/>
  <c r="B35" i="25"/>
  <c r="K31" i="25"/>
  <c r="B19" i="25"/>
  <c r="B30" i="25"/>
  <c r="K19" i="25"/>
  <c r="G15" i="25"/>
  <c r="B37" i="25"/>
  <c r="J27" i="25"/>
  <c r="D29" i="25"/>
  <c r="I15" i="25"/>
  <c r="K34" i="25"/>
  <c r="J16" i="25"/>
  <c r="J21" i="25"/>
  <c r="K27" i="25"/>
  <c r="I22" i="25"/>
  <c r="D35" i="25"/>
  <c r="H35" i="25"/>
  <c r="C21" i="25"/>
  <c r="K20" i="25"/>
  <c r="H15" i="25"/>
  <c r="J23" i="25"/>
  <c r="E36" i="25"/>
  <c r="H41" i="3"/>
  <c r="K40" i="3" s="1"/>
  <c r="T8" i="8" s="1"/>
  <c r="V8" i="8" s="1"/>
  <c r="I34" i="25"/>
  <c r="D13" i="4"/>
  <c r="G12" i="8" s="1"/>
  <c r="K12" i="8" s="1"/>
  <c r="B25" i="36"/>
  <c r="Y7" i="6"/>
  <c r="Y20" i="6" s="1"/>
  <c r="AC4" i="6"/>
  <c r="AC17" i="6" s="1"/>
  <c r="B15" i="23"/>
  <c r="H14" i="23"/>
  <c r="D14" i="23"/>
  <c r="J13" i="23"/>
  <c r="F13" i="23"/>
  <c r="B13" i="23"/>
  <c r="H12" i="23"/>
  <c r="D12" i="23"/>
  <c r="J11" i="23"/>
  <c r="F11" i="23"/>
  <c r="B11" i="23"/>
  <c r="H10" i="23"/>
  <c r="D10" i="23"/>
  <c r="J9" i="23"/>
  <c r="F9" i="23"/>
  <c r="B9" i="23"/>
  <c r="H8" i="23"/>
  <c r="D8" i="23"/>
  <c r="J7" i="23"/>
  <c r="F7" i="23"/>
  <c r="B7" i="23"/>
  <c r="AA8" i="8"/>
  <c r="K14" i="23"/>
  <c r="G14" i="23"/>
  <c r="C14" i="23"/>
  <c r="I13" i="23"/>
  <c r="E13" i="23"/>
  <c r="K12" i="23"/>
  <c r="G12" i="23"/>
  <c r="I11" i="23"/>
  <c r="E11" i="23"/>
  <c r="K10" i="23"/>
  <c r="G10" i="23"/>
  <c r="C10" i="23"/>
  <c r="I9" i="23"/>
  <c r="K8" i="23"/>
  <c r="G8" i="23"/>
  <c r="C8" i="23"/>
  <c r="I7" i="23"/>
  <c r="E7" i="23"/>
  <c r="H16" i="23"/>
  <c r="J27" i="23"/>
  <c r="J14" i="23"/>
  <c r="F14" i="23"/>
  <c r="B14" i="23"/>
  <c r="H13" i="23"/>
  <c r="D13" i="23"/>
  <c r="J12" i="23"/>
  <c r="F12" i="23"/>
  <c r="B12" i="23"/>
  <c r="H11" i="23"/>
  <c r="D11" i="23"/>
  <c r="J10" i="23"/>
  <c r="F10" i="23"/>
  <c r="B10" i="23"/>
  <c r="H9" i="23"/>
  <c r="D9" i="23"/>
  <c r="J8" i="23"/>
  <c r="F8" i="23"/>
  <c r="B8" i="23"/>
  <c r="H7" i="23"/>
  <c r="D7" i="23"/>
  <c r="X29" i="5"/>
  <c r="AA19" i="6"/>
  <c r="O7" i="6"/>
  <c r="O20" i="6" s="1"/>
  <c r="W5" i="6"/>
  <c r="W18" i="6" s="1"/>
  <c r="E22" i="9"/>
  <c r="Y6" i="8"/>
  <c r="U10" i="8"/>
  <c r="E24" i="9"/>
  <c r="Q6" i="6"/>
  <c r="Q19" i="6" s="1"/>
  <c r="H12" i="30"/>
  <c r="H11" i="30" s="1"/>
  <c r="Y8" i="8"/>
  <c r="G25" i="5"/>
  <c r="C9" i="27" s="1"/>
  <c r="F9" i="27" s="1"/>
  <c r="N74" i="6"/>
  <c r="D15" i="30"/>
  <c r="M6" i="6"/>
  <c r="F12" i="30"/>
  <c r="F11" i="30" s="1"/>
  <c r="F18" i="30"/>
  <c r="F17" i="30" s="1"/>
  <c r="Q7" i="6"/>
  <c r="Q20" i="6" s="1"/>
  <c r="U53" i="5"/>
  <c r="AC53" i="5" s="1"/>
  <c r="S53" i="5"/>
  <c r="U7" i="6"/>
  <c r="U20" i="6" s="1"/>
  <c r="E25" i="9"/>
  <c r="Y9" i="8"/>
  <c r="S52" i="5"/>
  <c r="M18" i="6"/>
  <c r="T52" i="5"/>
  <c r="AC52" i="5" s="1"/>
  <c r="I12" i="30"/>
  <c r="I11" i="30" s="1"/>
  <c r="I18" i="30"/>
  <c r="I17" i="30" s="1"/>
  <c r="F14" i="32" l="1"/>
  <c r="F17" i="32" s="1"/>
  <c r="H9" i="29"/>
  <c r="G44" i="5"/>
  <c r="F45" i="5"/>
  <c r="H44" i="5"/>
  <c r="H43" i="5"/>
  <c r="G43" i="5"/>
  <c r="H8" i="29"/>
  <c r="L45" i="3"/>
  <c r="T7" i="8" s="1"/>
  <c r="V7" i="8" s="1"/>
  <c r="K45" i="3"/>
  <c r="G106" i="22"/>
  <c r="G106" i="23" s="1"/>
  <c r="J52" i="22"/>
  <c r="J52" i="23" s="1"/>
  <c r="G49" i="22"/>
  <c r="G49" i="23" s="1"/>
  <c r="Y5" i="6"/>
  <c r="Y18" i="6" s="1"/>
  <c r="C88" i="22"/>
  <c r="C88" i="23" s="1"/>
  <c r="B54" i="22"/>
  <c r="B54" i="23" s="1"/>
  <c r="J41" i="22"/>
  <c r="J41" i="23" s="1"/>
  <c r="M32" i="10"/>
  <c r="E104" i="22"/>
  <c r="E104" i="23" s="1"/>
  <c r="B109" i="22"/>
  <c r="B109" i="23" s="1"/>
  <c r="I50" i="22"/>
  <c r="I50" i="23" s="1"/>
  <c r="AA5" i="6"/>
  <c r="AA18" i="6" s="1"/>
  <c r="G16" i="28"/>
  <c r="G14" i="28" s="1"/>
  <c r="I22" i="28"/>
  <c r="I20" i="28" s="1"/>
  <c r="AC7" i="6"/>
  <c r="AC20" i="6" s="1"/>
  <c r="H27" i="28"/>
  <c r="H25" i="28" s="1"/>
  <c r="O88" i="6"/>
  <c r="O94" i="6" s="1"/>
  <c r="AA13" i="6"/>
  <c r="AA22" i="6" s="1"/>
  <c r="K24" i="30"/>
  <c r="K23" i="30" s="1"/>
  <c r="E96" i="22"/>
  <c r="E96" i="23" s="1"/>
  <c r="G55" i="22"/>
  <c r="G55" i="23" s="1"/>
  <c r="C79" i="22"/>
  <c r="C79" i="23" s="1"/>
  <c r="G84" i="22"/>
  <c r="G84" i="23" s="1"/>
  <c r="H24" i="30"/>
  <c r="H23" i="30" s="1"/>
  <c r="I90" i="22"/>
  <c r="I90" i="23" s="1"/>
  <c r="K98" i="22"/>
  <c r="K98" i="23" s="1"/>
  <c r="B65" i="22"/>
  <c r="B65" i="23" s="1"/>
  <c r="I46" i="22"/>
  <c r="I46" i="23" s="1"/>
  <c r="C112" i="22"/>
  <c r="C112" i="23" s="1"/>
  <c r="D96" i="22"/>
  <c r="D96" i="23" s="1"/>
  <c r="E94" i="22"/>
  <c r="E94" i="23" s="1"/>
  <c r="J40" i="22"/>
  <c r="J40" i="23" s="1"/>
  <c r="E75" i="22"/>
  <c r="E75" i="23" s="1"/>
  <c r="K105" i="22"/>
  <c r="K105" i="23" s="1"/>
  <c r="D41" i="22"/>
  <c r="D41" i="23" s="1"/>
  <c r="J49" i="22"/>
  <c r="J49" i="23" s="1"/>
  <c r="D42" i="22"/>
  <c r="D42" i="23" s="1"/>
  <c r="B80" i="22"/>
  <c r="B80" i="23" s="1"/>
  <c r="J93" i="22"/>
  <c r="J93" i="23" s="1"/>
  <c r="F91" i="22"/>
  <c r="F91" i="23" s="1"/>
  <c r="C77" i="22"/>
  <c r="C77" i="23" s="1"/>
  <c r="C87" i="22"/>
  <c r="C87" i="23" s="1"/>
  <c r="C107" i="22"/>
  <c r="C107" i="23" s="1"/>
  <c r="I79" i="22"/>
  <c r="I79" i="23" s="1"/>
  <c r="K50" i="22"/>
  <c r="K50" i="23" s="1"/>
  <c r="I51" i="22"/>
  <c r="I51" i="23" s="1"/>
  <c r="C97" i="22"/>
  <c r="C97" i="23" s="1"/>
  <c r="J109" i="22"/>
  <c r="J109" i="23" s="1"/>
  <c r="G104" i="22"/>
  <c r="G104" i="23" s="1"/>
  <c r="G77" i="22"/>
  <c r="G77" i="23" s="1"/>
  <c r="E95" i="22"/>
  <c r="E95" i="23" s="1"/>
  <c r="K48" i="22"/>
  <c r="K48" i="23" s="1"/>
  <c r="K37" i="22"/>
  <c r="K37" i="23" s="1"/>
  <c r="C99" i="22"/>
  <c r="C99" i="23" s="1"/>
  <c r="I85" i="22"/>
  <c r="I85" i="23" s="1"/>
  <c r="B96" i="22"/>
  <c r="B96" i="23" s="1"/>
  <c r="H88" i="22"/>
  <c r="H88" i="23" s="1"/>
  <c r="F109" i="22"/>
  <c r="F109" i="23" s="1"/>
  <c r="B75" i="22"/>
  <c r="B75" i="23" s="1"/>
  <c r="D54" i="22"/>
  <c r="D54" i="23" s="1"/>
  <c r="B66" i="22"/>
  <c r="B66" i="23" s="1"/>
  <c r="I104" i="22"/>
  <c r="I104" i="23" s="1"/>
  <c r="D90" i="22"/>
  <c r="D90" i="23" s="1"/>
  <c r="J55" i="22"/>
  <c r="J55" i="23" s="1"/>
  <c r="J107" i="22"/>
  <c r="J107" i="23" s="1"/>
  <c r="D85" i="22"/>
  <c r="D85" i="23" s="1"/>
  <c r="B68" i="22"/>
  <c r="B68" i="23" s="1"/>
  <c r="B49" i="22"/>
  <c r="B49" i="23" s="1"/>
  <c r="E83" i="22"/>
  <c r="E83" i="23" s="1"/>
  <c r="AC31" i="5"/>
  <c r="AC24" i="5"/>
  <c r="G24" i="5" s="1"/>
  <c r="D40" i="22"/>
  <c r="D40" i="23" s="1"/>
  <c r="J44" i="22"/>
  <c r="J44" i="23" s="1"/>
  <c r="H80" i="22"/>
  <c r="H80" i="23" s="1"/>
  <c r="D101" i="22"/>
  <c r="D101" i="23" s="1"/>
  <c r="F53" i="22"/>
  <c r="F53" i="23" s="1"/>
  <c r="I73" i="22"/>
  <c r="I73" i="23" s="1"/>
  <c r="B111" i="22"/>
  <c r="B111" i="23" s="1"/>
  <c r="G87" i="22"/>
  <c r="G87" i="23" s="1"/>
  <c r="F86" i="22"/>
  <c r="F86" i="23" s="1"/>
  <c r="J68" i="22"/>
  <c r="J68" i="23" s="1"/>
  <c r="C42" i="22"/>
  <c r="C42" i="23" s="1"/>
  <c r="C105" i="22"/>
  <c r="C105" i="23" s="1"/>
  <c r="E48" i="22"/>
  <c r="E48" i="23" s="1"/>
  <c r="J97" i="22"/>
  <c r="J97" i="23" s="1"/>
  <c r="B79" i="22"/>
  <c r="B79" i="23" s="1"/>
  <c r="E109" i="22"/>
  <c r="E109" i="23" s="1"/>
  <c r="G79" i="22"/>
  <c r="G79" i="23" s="1"/>
  <c r="E112" i="22"/>
  <c r="E112" i="23" s="1"/>
  <c r="F81" i="22"/>
  <c r="F81" i="23" s="1"/>
  <c r="X35" i="5"/>
  <c r="B8" i="17"/>
  <c r="AA7" i="6"/>
  <c r="AA20" i="6" s="1"/>
  <c r="F20" i="32"/>
  <c r="F23" i="32" s="1"/>
  <c r="N75" i="6"/>
  <c r="E10" i="26"/>
  <c r="E8" i="26" s="1"/>
  <c r="E16" i="26" s="1"/>
  <c r="N15" i="28"/>
  <c r="N13" i="28" s="1"/>
  <c r="V35" i="5"/>
  <c r="D23" i="4"/>
  <c r="B6" i="6"/>
  <c r="G6" i="6" s="1"/>
  <c r="D9" i="6" s="1"/>
  <c r="G9" i="6" s="1"/>
  <c r="D8" i="4" s="1"/>
  <c r="G8" i="8" s="1"/>
  <c r="I8" i="8" s="1"/>
  <c r="E30" i="5"/>
  <c r="G18" i="30"/>
  <c r="G17" i="30" s="1"/>
  <c r="AC26" i="5"/>
  <c r="D8" i="33" s="1"/>
  <c r="G8" i="33" s="1"/>
  <c r="AC32" i="5"/>
  <c r="G32" i="5" s="1"/>
  <c r="AA10" i="8"/>
  <c r="E28" i="9" s="1"/>
  <c r="F27" i="30"/>
  <c r="F26" i="30" s="1"/>
  <c r="W10" i="6"/>
  <c r="W27" i="6" s="1"/>
  <c r="W35" i="5"/>
  <c r="E12" i="30"/>
  <c r="E11" i="30" s="1"/>
  <c r="O5" i="6"/>
  <c r="O18" i="6" s="1"/>
  <c r="I81" i="22"/>
  <c r="I81" i="23" s="1"/>
  <c r="I110" i="22"/>
  <c r="I110" i="23" s="1"/>
  <c r="F72" i="22"/>
  <c r="F72" i="23" s="1"/>
  <c r="H39" i="22"/>
  <c r="H39" i="23" s="1"/>
  <c r="K92" i="22"/>
  <c r="K92" i="23" s="1"/>
  <c r="H79" i="22"/>
  <c r="H79" i="23" s="1"/>
  <c r="H78" i="22"/>
  <c r="H78" i="23" s="1"/>
  <c r="E91" i="22"/>
  <c r="E91" i="23" s="1"/>
  <c r="J98" i="22"/>
  <c r="J98" i="23" s="1"/>
  <c r="I64" i="22"/>
  <c r="I64" i="23" s="1"/>
  <c r="I96" i="22"/>
  <c r="I96" i="23" s="1"/>
  <c r="G91" i="22"/>
  <c r="G91" i="23" s="1"/>
  <c r="D52" i="22"/>
  <c r="D52" i="23" s="1"/>
  <c r="D69" i="22"/>
  <c r="D69" i="23" s="1"/>
  <c r="B94" i="22"/>
  <c r="B94" i="23" s="1"/>
  <c r="H105" i="22"/>
  <c r="H105" i="23" s="1"/>
  <c r="I65" i="22"/>
  <c r="I65" i="23" s="1"/>
  <c r="I108" i="22"/>
  <c r="I108" i="23" s="1"/>
  <c r="B81" i="22"/>
  <c r="B81" i="23" s="1"/>
  <c r="I105" i="22"/>
  <c r="I105" i="23" s="1"/>
  <c r="D47" i="22"/>
  <c r="D47" i="23" s="1"/>
  <c r="B50" i="22"/>
  <c r="B50" i="23" s="1"/>
  <c r="J99" i="22"/>
  <c r="J99" i="23" s="1"/>
  <c r="D38" i="22"/>
  <c r="D38" i="23" s="1"/>
  <c r="C41" i="22"/>
  <c r="C41" i="23" s="1"/>
  <c r="K99" i="22"/>
  <c r="K99" i="23" s="1"/>
  <c r="C103" i="22"/>
  <c r="C103" i="23" s="1"/>
  <c r="G86" i="22"/>
  <c r="G86" i="23" s="1"/>
  <c r="E72" i="22"/>
  <c r="E72" i="23" s="1"/>
  <c r="I48" i="22"/>
  <c r="I48" i="23" s="1"/>
  <c r="J96" i="22"/>
  <c r="J96" i="23" s="1"/>
  <c r="K44" i="22"/>
  <c r="K44" i="23" s="1"/>
  <c r="F106" i="22"/>
  <c r="F106" i="23" s="1"/>
  <c r="D68" i="22"/>
  <c r="D68" i="23" s="1"/>
  <c r="I63" i="22"/>
  <c r="I63" i="23" s="1"/>
  <c r="H52" i="22"/>
  <c r="H52" i="23" s="1"/>
  <c r="C85" i="22"/>
  <c r="C85" i="23" s="1"/>
  <c r="C54" i="22"/>
  <c r="C54" i="23" s="1"/>
  <c r="F52" i="22"/>
  <c r="F52" i="23" s="1"/>
  <c r="H76" i="22"/>
  <c r="H76" i="23" s="1"/>
  <c r="F107" i="22"/>
  <c r="F107" i="23" s="1"/>
  <c r="D70" i="22"/>
  <c r="D70" i="23" s="1"/>
  <c r="F69" i="22"/>
  <c r="F69" i="23" s="1"/>
  <c r="D100" i="22"/>
  <c r="D100" i="23" s="1"/>
  <c r="J45" i="22"/>
  <c r="J45" i="23" s="1"/>
  <c r="E105" i="22"/>
  <c r="E105" i="23" s="1"/>
  <c r="K55" i="22"/>
  <c r="K55" i="23" s="1"/>
  <c r="J86" i="22"/>
  <c r="J86" i="23" s="1"/>
  <c r="D110" i="22"/>
  <c r="D110" i="23" s="1"/>
  <c r="E88" i="22"/>
  <c r="E88" i="23" s="1"/>
  <c r="E111" i="22"/>
  <c r="E111" i="23" s="1"/>
  <c r="H99" i="22"/>
  <c r="H99" i="23" s="1"/>
  <c r="B88" i="22"/>
  <c r="B88" i="23" s="1"/>
  <c r="C40" i="22"/>
  <c r="C40" i="23" s="1"/>
  <c r="D89" i="22"/>
  <c r="D89" i="23" s="1"/>
  <c r="G46" i="22"/>
  <c r="G46" i="23" s="1"/>
  <c r="B53" i="22"/>
  <c r="B53" i="23" s="1"/>
  <c r="F103" i="22"/>
  <c r="F103" i="23" s="1"/>
  <c r="G88" i="22"/>
  <c r="G88" i="23" s="1"/>
  <c r="D106" i="22"/>
  <c r="D106" i="23" s="1"/>
  <c r="B110" i="22"/>
  <c r="B110" i="23" s="1"/>
  <c r="F66" i="22"/>
  <c r="F66" i="23" s="1"/>
  <c r="K39" i="22"/>
  <c r="K39" i="23" s="1"/>
  <c r="H111" i="22"/>
  <c r="H111" i="23" s="1"/>
  <c r="J42" i="22"/>
  <c r="J42" i="23" s="1"/>
  <c r="B100" i="22"/>
  <c r="B100" i="23" s="1"/>
  <c r="H74" i="22"/>
  <c r="H74" i="23" s="1"/>
  <c r="G64" i="22"/>
  <c r="G64" i="23" s="1"/>
  <c r="D67" i="22"/>
  <c r="D67" i="23" s="1"/>
  <c r="G98" i="22"/>
  <c r="G98" i="23" s="1"/>
  <c r="K49" i="22"/>
  <c r="K49" i="23" s="1"/>
  <c r="F101" i="22"/>
  <c r="F101" i="23" s="1"/>
  <c r="H53" i="22"/>
  <c r="H53" i="23" s="1"/>
  <c r="B39" i="22"/>
  <c r="B39" i="23" s="1"/>
  <c r="D66" i="22"/>
  <c r="D66" i="23" s="1"/>
  <c r="E64" i="22"/>
  <c r="E64" i="23" s="1"/>
  <c r="D104" i="22"/>
  <c r="D104" i="23" s="1"/>
  <c r="I97" i="22"/>
  <c r="I97" i="23" s="1"/>
  <c r="C47" i="22"/>
  <c r="C47" i="23" s="1"/>
  <c r="B106" i="22"/>
  <c r="B106" i="23" s="1"/>
  <c r="F100" i="22"/>
  <c r="F100" i="23" s="1"/>
  <c r="H54" i="22"/>
  <c r="H54" i="23" s="1"/>
  <c r="J85" i="22"/>
  <c r="J85" i="23" s="1"/>
  <c r="H69" i="22"/>
  <c r="H69" i="23" s="1"/>
  <c r="J54" i="22"/>
  <c r="J54" i="23" s="1"/>
  <c r="H100" i="22"/>
  <c r="H100" i="23" s="1"/>
  <c r="F95" i="22"/>
  <c r="F95" i="23" s="1"/>
  <c r="G82" i="22"/>
  <c r="G82" i="23" s="1"/>
  <c r="K86" i="22"/>
  <c r="K86" i="23" s="1"/>
  <c r="D74" i="22"/>
  <c r="D74" i="23" s="1"/>
  <c r="J74" i="22"/>
  <c r="J74" i="23" s="1"/>
  <c r="J56" i="22"/>
  <c r="J56" i="23" s="1"/>
  <c r="G56" i="22"/>
  <c r="G56" i="23" s="1"/>
  <c r="K74" i="22"/>
  <c r="K74" i="23" s="1"/>
  <c r="J65" i="22"/>
  <c r="J65" i="23" s="1"/>
  <c r="I72" i="22"/>
  <c r="I72" i="23" s="1"/>
  <c r="H66" i="22"/>
  <c r="H66" i="23" s="1"/>
  <c r="G67" i="22"/>
  <c r="G67" i="23" s="1"/>
  <c r="F104" i="22"/>
  <c r="F104" i="23" s="1"/>
  <c r="I68" i="22"/>
  <c r="I68" i="23" s="1"/>
  <c r="H86" i="22"/>
  <c r="H86" i="23" s="1"/>
  <c r="J48" i="22"/>
  <c r="J48" i="23" s="1"/>
  <c r="C96" i="22"/>
  <c r="C96" i="23" s="1"/>
  <c r="J102" i="22"/>
  <c r="J102" i="23" s="1"/>
  <c r="K79" i="22"/>
  <c r="K79" i="23" s="1"/>
  <c r="I74" i="22"/>
  <c r="I74" i="23" s="1"/>
  <c r="D92" i="22"/>
  <c r="D92" i="23" s="1"/>
  <c r="G99" i="22"/>
  <c r="G99" i="23" s="1"/>
  <c r="F92" i="22"/>
  <c r="F92" i="23" s="1"/>
  <c r="G45" i="22"/>
  <c r="G45" i="23" s="1"/>
  <c r="K73" i="22"/>
  <c r="K73" i="23" s="1"/>
  <c r="J108" i="22"/>
  <c r="J108" i="23" s="1"/>
  <c r="H41" i="22"/>
  <c r="H41" i="23" s="1"/>
  <c r="C37" i="22"/>
  <c r="C37" i="23" s="1"/>
  <c r="E98" i="22"/>
  <c r="E98" i="23" s="1"/>
  <c r="C55" i="22"/>
  <c r="C55" i="23" s="1"/>
  <c r="H65" i="22"/>
  <c r="H65" i="23" s="1"/>
  <c r="F39" i="22"/>
  <c r="F39" i="23" s="1"/>
  <c r="F68" i="22"/>
  <c r="F68" i="23" s="1"/>
  <c r="I95" i="22"/>
  <c r="I95" i="23" s="1"/>
  <c r="F93" i="22"/>
  <c r="F93" i="23" s="1"/>
  <c r="G37" i="22"/>
  <c r="G37" i="23" s="1"/>
  <c r="E84" i="22"/>
  <c r="E84" i="23" s="1"/>
  <c r="C102" i="22"/>
  <c r="C102" i="23" s="1"/>
  <c r="C82" i="22"/>
  <c r="C82" i="23" s="1"/>
  <c r="E44" i="22"/>
  <c r="E44" i="23" s="1"/>
  <c r="G75" i="22"/>
  <c r="G75" i="23" s="1"/>
  <c r="J38" i="22"/>
  <c r="J38" i="23" s="1"/>
  <c r="H95" i="22"/>
  <c r="H95" i="23" s="1"/>
  <c r="D75" i="22"/>
  <c r="D75" i="23" s="1"/>
  <c r="K72" i="22"/>
  <c r="K72" i="23" s="1"/>
  <c r="C44" i="22"/>
  <c r="C44" i="23" s="1"/>
  <c r="E73" i="22"/>
  <c r="E73" i="23" s="1"/>
  <c r="E87" i="22"/>
  <c r="E87" i="23" s="1"/>
  <c r="H96" i="22"/>
  <c r="H96" i="23" s="1"/>
  <c r="F75" i="22"/>
  <c r="F75" i="23" s="1"/>
  <c r="I71" i="22"/>
  <c r="I71" i="23" s="1"/>
  <c r="D88" i="22"/>
  <c r="D88" i="23" s="1"/>
  <c r="D49" i="22"/>
  <c r="D49" i="23" s="1"/>
  <c r="D17" i="2"/>
  <c r="J100" i="25" s="1"/>
  <c r="C78" i="22"/>
  <c r="C78" i="23" s="1"/>
  <c r="K65" i="22"/>
  <c r="K65" i="23" s="1"/>
  <c r="D44" i="22"/>
  <c r="D44" i="23" s="1"/>
  <c r="B67" i="22"/>
  <c r="B67" i="23" s="1"/>
  <c r="E82" i="22"/>
  <c r="E82" i="23" s="1"/>
  <c r="F37" i="22"/>
  <c r="F37" i="23" s="1"/>
  <c r="J63" i="22"/>
  <c r="J63" i="23" s="1"/>
  <c r="F54" i="22"/>
  <c r="F54" i="23" s="1"/>
  <c r="G81" i="22"/>
  <c r="G81" i="23" s="1"/>
  <c r="E45" i="22"/>
  <c r="E45" i="23" s="1"/>
  <c r="F48" i="22"/>
  <c r="F48" i="23" s="1"/>
  <c r="I93" i="22"/>
  <c r="I93" i="23" s="1"/>
  <c r="E100" i="22"/>
  <c r="E100" i="23" s="1"/>
  <c r="F50" i="22"/>
  <c r="F50" i="23" s="1"/>
  <c r="J95" i="22"/>
  <c r="J95" i="23" s="1"/>
  <c r="H47" i="22"/>
  <c r="H47" i="23" s="1"/>
  <c r="I99" i="22"/>
  <c r="I99" i="23" s="1"/>
  <c r="K76" i="22"/>
  <c r="K76" i="23" s="1"/>
  <c r="E54" i="22"/>
  <c r="E54" i="23" s="1"/>
  <c r="H97" i="22"/>
  <c r="H97" i="23" s="1"/>
  <c r="B71" i="22"/>
  <c r="B71" i="23" s="1"/>
  <c r="H42" i="22"/>
  <c r="H42" i="23" s="1"/>
  <c r="C50" i="22"/>
  <c r="C50" i="23" s="1"/>
  <c r="D73" i="22"/>
  <c r="D73" i="23" s="1"/>
  <c r="D50" i="22"/>
  <c r="D50" i="23" s="1"/>
  <c r="D91" i="22"/>
  <c r="D91" i="23" s="1"/>
  <c r="J73" i="22"/>
  <c r="J73" i="23" s="1"/>
  <c r="H107" i="22"/>
  <c r="H107" i="23" s="1"/>
  <c r="D79" i="22"/>
  <c r="D79" i="23" s="1"/>
  <c r="B90" i="22"/>
  <c r="B90" i="23" s="1"/>
  <c r="J112" i="22"/>
  <c r="J112" i="23" s="1"/>
  <c r="G92" i="22"/>
  <c r="G92" i="23" s="1"/>
  <c r="H37" i="22"/>
  <c r="H37" i="23" s="1"/>
  <c r="E41" i="22"/>
  <c r="E41" i="23" s="1"/>
  <c r="K63" i="22"/>
  <c r="K63" i="23" s="1"/>
  <c r="I112" i="22"/>
  <c r="I112" i="23" s="1"/>
  <c r="B70" i="22"/>
  <c r="B70" i="23" s="1"/>
  <c r="F51" i="22"/>
  <c r="F51" i="23" s="1"/>
  <c r="H51" i="22"/>
  <c r="H51" i="23" s="1"/>
  <c r="G96" i="22"/>
  <c r="G96" i="23" s="1"/>
  <c r="I40" i="22"/>
  <c r="I40" i="23" s="1"/>
  <c r="F102" i="22"/>
  <c r="F102" i="23" s="1"/>
  <c r="G70" i="22"/>
  <c r="G70" i="23" s="1"/>
  <c r="G112" i="22"/>
  <c r="G112" i="23" s="1"/>
  <c r="I49" i="22"/>
  <c r="I49" i="23" s="1"/>
  <c r="C70" i="22"/>
  <c r="C70" i="23" s="1"/>
  <c r="C109" i="22"/>
  <c r="C109" i="23" s="1"/>
  <c r="F96" i="22"/>
  <c r="F96" i="23" s="1"/>
  <c r="D51" i="22"/>
  <c r="D51" i="23" s="1"/>
  <c r="B105" i="22"/>
  <c r="B105" i="23" s="1"/>
  <c r="I103" i="22"/>
  <c r="I103" i="23" s="1"/>
  <c r="K68" i="22"/>
  <c r="K68" i="23" s="1"/>
  <c r="D109" i="22"/>
  <c r="D109" i="23" s="1"/>
  <c r="B42" i="22"/>
  <c r="B42" i="23" s="1"/>
  <c r="E71" i="22"/>
  <c r="E71" i="23" s="1"/>
  <c r="I47" i="22"/>
  <c r="I47" i="23" s="1"/>
  <c r="E68" i="22"/>
  <c r="E68" i="23" s="1"/>
  <c r="I77" i="22"/>
  <c r="I77" i="23" s="1"/>
  <c r="I42" i="22"/>
  <c r="I42" i="23" s="1"/>
  <c r="H110" i="22"/>
  <c r="H110" i="23" s="1"/>
  <c r="B101" i="22"/>
  <c r="B101" i="23" s="1"/>
  <c r="K40" i="22"/>
  <c r="K40" i="23" s="1"/>
  <c r="E106" i="22"/>
  <c r="E106" i="23" s="1"/>
  <c r="B77" i="22"/>
  <c r="B77" i="23" s="1"/>
  <c r="G110" i="22"/>
  <c r="G110" i="23" s="1"/>
  <c r="H108" i="22"/>
  <c r="H108" i="23" s="1"/>
  <c r="G107" i="22"/>
  <c r="G107" i="23" s="1"/>
  <c r="F80" i="22"/>
  <c r="F80" i="23" s="1"/>
  <c r="G54" i="22"/>
  <c r="G54" i="23" s="1"/>
  <c r="J104" i="22"/>
  <c r="J104" i="23" s="1"/>
  <c r="H50" i="22"/>
  <c r="H50" i="23" s="1"/>
  <c r="E65" i="22"/>
  <c r="E65" i="23" s="1"/>
  <c r="J71" i="22"/>
  <c r="J71" i="23" s="1"/>
  <c r="B108" i="22"/>
  <c r="B108" i="23" s="1"/>
  <c r="H56" i="22"/>
  <c r="H56" i="23" s="1"/>
  <c r="B102" i="22"/>
  <c r="B102" i="23" s="1"/>
  <c r="B87" i="22"/>
  <c r="B87" i="23" s="1"/>
  <c r="F73" i="22"/>
  <c r="F73" i="23" s="1"/>
  <c r="I80" i="22"/>
  <c r="I80" i="23" s="1"/>
  <c r="D45" i="22"/>
  <c r="D45" i="23" s="1"/>
  <c r="H98" i="22"/>
  <c r="H98" i="23" s="1"/>
  <c r="E79" i="22"/>
  <c r="E79" i="23" s="1"/>
  <c r="H102" i="22"/>
  <c r="H102" i="23" s="1"/>
  <c r="G65" i="22"/>
  <c r="G65" i="23" s="1"/>
  <c r="E46" i="22"/>
  <c r="E46" i="23" s="1"/>
  <c r="G44" i="22"/>
  <c r="G44" i="23" s="1"/>
  <c r="D72" i="22"/>
  <c r="D72" i="23" s="1"/>
  <c r="H72" i="22"/>
  <c r="H72" i="23" s="1"/>
  <c r="D46" i="22"/>
  <c r="D46" i="23" s="1"/>
  <c r="E55" i="22"/>
  <c r="E55" i="23" s="1"/>
  <c r="C66" i="22"/>
  <c r="C66" i="23" s="1"/>
  <c r="K85" i="22"/>
  <c r="K85" i="23" s="1"/>
  <c r="K84" i="22"/>
  <c r="K84" i="23" s="1"/>
  <c r="G85" i="22"/>
  <c r="G85" i="23" s="1"/>
  <c r="J92" i="22"/>
  <c r="J92" i="23" s="1"/>
  <c r="E66" i="22"/>
  <c r="E66" i="23" s="1"/>
  <c r="J89" i="22"/>
  <c r="J89" i="23" s="1"/>
  <c r="J103" i="22"/>
  <c r="J103" i="23" s="1"/>
  <c r="F99" i="22"/>
  <c r="F99" i="23" s="1"/>
  <c r="I102" i="22"/>
  <c r="I102" i="23" s="1"/>
  <c r="I45" i="22"/>
  <c r="I45" i="23" s="1"/>
  <c r="C46" i="22"/>
  <c r="C46" i="23" s="1"/>
  <c r="I101" i="22"/>
  <c r="I101" i="23" s="1"/>
  <c r="G89" i="22"/>
  <c r="G89" i="23" s="1"/>
  <c r="B41" i="22"/>
  <c r="B41" i="23" s="1"/>
  <c r="G50" i="22"/>
  <c r="G50" i="23" s="1"/>
  <c r="K107" i="22"/>
  <c r="K107" i="23" s="1"/>
  <c r="H101" i="22"/>
  <c r="H101" i="23" s="1"/>
  <c r="K83" i="22"/>
  <c r="K83" i="23" s="1"/>
  <c r="F67" i="22"/>
  <c r="F67" i="23" s="1"/>
  <c r="J46" i="22"/>
  <c r="J46" i="23" s="1"/>
  <c r="F79" i="22"/>
  <c r="F79" i="23" s="1"/>
  <c r="K77" i="22"/>
  <c r="K77" i="23" s="1"/>
  <c r="I75" i="22"/>
  <c r="I75" i="23" s="1"/>
  <c r="I91" i="22"/>
  <c r="I91" i="23" s="1"/>
  <c r="E63" i="22"/>
  <c r="E63" i="23" s="1"/>
  <c r="J78" i="22"/>
  <c r="J78" i="23" s="1"/>
  <c r="J79" i="22"/>
  <c r="J79" i="23" s="1"/>
  <c r="G80" i="22"/>
  <c r="G80" i="23" s="1"/>
  <c r="D64" i="22"/>
  <c r="D64" i="23" s="1"/>
  <c r="I84" i="22"/>
  <c r="I84" i="23" s="1"/>
  <c r="G111" i="22"/>
  <c r="G111" i="23" s="1"/>
  <c r="E89" i="22"/>
  <c r="E89" i="23" s="1"/>
  <c r="F90" i="22"/>
  <c r="F90" i="23" s="1"/>
  <c r="K56" i="22"/>
  <c r="K56" i="23" s="1"/>
  <c r="I66" i="22"/>
  <c r="I66" i="23" s="1"/>
  <c r="K41" i="22"/>
  <c r="K41" i="23" s="1"/>
  <c r="G103" i="22"/>
  <c r="G103" i="23" s="1"/>
  <c r="G71" i="22"/>
  <c r="G71" i="23" s="1"/>
  <c r="B40" i="22"/>
  <c r="B40" i="23" s="1"/>
  <c r="C95" i="22"/>
  <c r="C95" i="23" s="1"/>
  <c r="C43" i="22"/>
  <c r="C43" i="23" s="1"/>
  <c r="H104" i="22"/>
  <c r="H104" i="23" s="1"/>
  <c r="K42" i="22"/>
  <c r="K42" i="23" s="1"/>
  <c r="H90" i="22"/>
  <c r="H90" i="23" s="1"/>
  <c r="G47" i="22"/>
  <c r="G47" i="23" s="1"/>
  <c r="K70" i="22"/>
  <c r="K70" i="23" s="1"/>
  <c r="J87" i="22"/>
  <c r="J87" i="23" s="1"/>
  <c r="B69" i="22"/>
  <c r="B69" i="23" s="1"/>
  <c r="C83" i="22"/>
  <c r="C83" i="23" s="1"/>
  <c r="J66" i="22"/>
  <c r="J66" i="23" s="1"/>
  <c r="E78" i="22"/>
  <c r="E78" i="23" s="1"/>
  <c r="G90" i="22"/>
  <c r="G90" i="23" s="1"/>
  <c r="H70" i="22"/>
  <c r="H70" i="23" s="1"/>
  <c r="C84" i="22"/>
  <c r="C84" i="23" s="1"/>
  <c r="E53" i="22"/>
  <c r="E53" i="23" s="1"/>
  <c r="B74" i="22"/>
  <c r="B74" i="23" s="1"/>
  <c r="F105" i="22"/>
  <c r="F105" i="23" s="1"/>
  <c r="D99" i="22"/>
  <c r="D99" i="23" s="1"/>
  <c r="J76" i="22"/>
  <c r="J76" i="23" s="1"/>
  <c r="I78" i="22"/>
  <c r="I78" i="23" s="1"/>
  <c r="B82" i="22"/>
  <c r="B82" i="23" s="1"/>
  <c r="J111" i="22"/>
  <c r="J111" i="23" s="1"/>
  <c r="I82" i="22"/>
  <c r="I82" i="23" s="1"/>
  <c r="E108" i="22"/>
  <c r="E108" i="23" s="1"/>
  <c r="H84" i="22"/>
  <c r="H84" i="23" s="1"/>
  <c r="K101" i="22"/>
  <c r="K101" i="23" s="1"/>
  <c r="D93" i="22"/>
  <c r="D93" i="23" s="1"/>
  <c r="E92" i="22"/>
  <c r="E92" i="23" s="1"/>
  <c r="F70" i="22"/>
  <c r="F70" i="23" s="1"/>
  <c r="I55" i="22"/>
  <c r="I55" i="23" s="1"/>
  <c r="K82" i="22"/>
  <c r="K82" i="23" s="1"/>
  <c r="F43" i="22"/>
  <c r="F43" i="23" s="1"/>
  <c r="B95" i="22"/>
  <c r="B95" i="23" s="1"/>
  <c r="K96" i="22"/>
  <c r="K96" i="23" s="1"/>
  <c r="C110" i="22"/>
  <c r="C110" i="23" s="1"/>
  <c r="C71" i="22"/>
  <c r="C71" i="23" s="1"/>
  <c r="C104" i="22"/>
  <c r="C104" i="23" s="1"/>
  <c r="F78" i="22"/>
  <c r="F78" i="23" s="1"/>
  <c r="B73" i="22"/>
  <c r="B73" i="23" s="1"/>
  <c r="H63" i="22"/>
  <c r="H63" i="23" s="1"/>
  <c r="C101" i="22"/>
  <c r="C101" i="23" s="1"/>
  <c r="B112" i="22"/>
  <c r="B112" i="23" s="1"/>
  <c r="B64" i="22"/>
  <c r="B64" i="23" s="1"/>
  <c r="G66" i="22"/>
  <c r="G66" i="23" s="1"/>
  <c r="G72" i="22"/>
  <c r="G72" i="23" s="1"/>
  <c r="H48" i="22"/>
  <c r="H48" i="23" s="1"/>
  <c r="D48" i="22"/>
  <c r="D48" i="23" s="1"/>
  <c r="F98" i="22"/>
  <c r="F98" i="23" s="1"/>
  <c r="D103" i="22"/>
  <c r="D103" i="23" s="1"/>
  <c r="B56" i="22"/>
  <c r="B56" i="23" s="1"/>
  <c r="G94" i="22"/>
  <c r="G94" i="23" s="1"/>
  <c r="K45" i="22"/>
  <c r="K45" i="23" s="1"/>
  <c r="J94" i="22"/>
  <c r="J94" i="23" s="1"/>
  <c r="F74" i="22"/>
  <c r="F74" i="23" s="1"/>
  <c r="I88" i="22"/>
  <c r="I88" i="23" s="1"/>
  <c r="J91" i="22"/>
  <c r="J91" i="23" s="1"/>
  <c r="K102" i="22"/>
  <c r="K102" i="23" s="1"/>
  <c r="H67" i="22"/>
  <c r="H67" i="23" s="1"/>
  <c r="F49" i="22"/>
  <c r="F49" i="23" s="1"/>
  <c r="D71" i="22"/>
  <c r="D71" i="23" s="1"/>
  <c r="B89" i="22"/>
  <c r="B89" i="23" s="1"/>
  <c r="G105" i="22"/>
  <c r="G105" i="23" s="1"/>
  <c r="G101" i="22"/>
  <c r="G101" i="23" s="1"/>
  <c r="J50" i="22"/>
  <c r="J50" i="23" s="1"/>
  <c r="F40" i="22"/>
  <c r="F40" i="23" s="1"/>
  <c r="G108" i="22"/>
  <c r="G108" i="23" s="1"/>
  <c r="I52" i="22"/>
  <c r="I52" i="23" s="1"/>
  <c r="D76" i="22"/>
  <c r="D76" i="23" s="1"/>
  <c r="F76" i="22"/>
  <c r="F76" i="23" s="1"/>
  <c r="J81" i="22"/>
  <c r="J81" i="23" s="1"/>
  <c r="K97" i="22"/>
  <c r="K97" i="23" s="1"/>
  <c r="F44" i="22"/>
  <c r="F44" i="23" s="1"/>
  <c r="F89" i="22"/>
  <c r="F89" i="23" s="1"/>
  <c r="D65" i="22"/>
  <c r="D65" i="23" s="1"/>
  <c r="C106" i="22"/>
  <c r="C106" i="23" s="1"/>
  <c r="H87" i="22"/>
  <c r="H87" i="23" s="1"/>
  <c r="K94" i="22"/>
  <c r="K94" i="23" s="1"/>
  <c r="H94" i="22"/>
  <c r="H94" i="23" s="1"/>
  <c r="E39" i="22"/>
  <c r="E39" i="23" s="1"/>
  <c r="F77" i="22"/>
  <c r="F77" i="23" s="1"/>
  <c r="E110" i="22"/>
  <c r="E110" i="23" s="1"/>
  <c r="H64" i="22"/>
  <c r="H64" i="23" s="1"/>
  <c r="C92" i="22"/>
  <c r="C92" i="23" s="1"/>
  <c r="D94" i="22"/>
  <c r="D94" i="23" s="1"/>
  <c r="G97" i="22"/>
  <c r="G97" i="23" s="1"/>
  <c r="E69" i="22"/>
  <c r="E69" i="23" s="1"/>
  <c r="G102" i="22"/>
  <c r="G102" i="23" s="1"/>
  <c r="H71" i="22"/>
  <c r="H71" i="23" s="1"/>
  <c r="B107" i="22"/>
  <c r="B107" i="23" s="1"/>
  <c r="E67" i="22"/>
  <c r="E67" i="23" s="1"/>
  <c r="G43" i="22"/>
  <c r="G43" i="23" s="1"/>
  <c r="B83" i="22"/>
  <c r="B83" i="23" s="1"/>
  <c r="B45" i="22"/>
  <c r="B45" i="23" s="1"/>
  <c r="K69" i="22"/>
  <c r="K69" i="23" s="1"/>
  <c r="I39" i="22"/>
  <c r="I39" i="23" s="1"/>
  <c r="C51" i="22"/>
  <c r="C51" i="23" s="1"/>
  <c r="C98" i="22"/>
  <c r="C98" i="23" s="1"/>
  <c r="C68" i="22"/>
  <c r="C68" i="23" s="1"/>
  <c r="C75" i="22"/>
  <c r="C75" i="23" s="1"/>
  <c r="B86" i="22"/>
  <c r="B86" i="23" s="1"/>
  <c r="F56" i="22"/>
  <c r="F56" i="23" s="1"/>
  <c r="E97" i="22"/>
  <c r="E97" i="23" s="1"/>
  <c r="C45" i="22"/>
  <c r="C45" i="23" s="1"/>
  <c r="C89" i="22"/>
  <c r="C89" i="23" s="1"/>
  <c r="B85" i="22"/>
  <c r="B85" i="23" s="1"/>
  <c r="C53" i="22"/>
  <c r="C53" i="23" s="1"/>
  <c r="E52" i="22"/>
  <c r="E52" i="23" s="1"/>
  <c r="K87" i="22"/>
  <c r="K87" i="23" s="1"/>
  <c r="D108" i="22"/>
  <c r="D108" i="23" s="1"/>
  <c r="B98" i="22"/>
  <c r="B98" i="23" s="1"/>
  <c r="H106" i="22"/>
  <c r="H106" i="23" s="1"/>
  <c r="E50" i="22"/>
  <c r="E50" i="23" s="1"/>
  <c r="H82" i="22"/>
  <c r="H82" i="23" s="1"/>
  <c r="D43" i="22"/>
  <c r="D43" i="23" s="1"/>
  <c r="J64" i="22"/>
  <c r="J64" i="23" s="1"/>
  <c r="D83" i="22"/>
  <c r="D83" i="23" s="1"/>
  <c r="I109" i="22"/>
  <c r="I109" i="23" s="1"/>
  <c r="F87" i="22"/>
  <c r="F87" i="23" s="1"/>
  <c r="G100" i="22"/>
  <c r="G100" i="23" s="1"/>
  <c r="H93" i="22"/>
  <c r="H93" i="23" s="1"/>
  <c r="F42" i="22"/>
  <c r="F42" i="23" s="1"/>
  <c r="B63" i="22"/>
  <c r="B63" i="23" s="1"/>
  <c r="J75" i="22"/>
  <c r="J75" i="23" s="1"/>
  <c r="I70" i="22"/>
  <c r="I70" i="23" s="1"/>
  <c r="I41" i="22"/>
  <c r="I41" i="23" s="1"/>
  <c r="G48" i="22"/>
  <c r="G48" i="23" s="1"/>
  <c r="H40" i="22"/>
  <c r="H40" i="23" s="1"/>
  <c r="J67" i="22"/>
  <c r="J67" i="23" s="1"/>
  <c r="B52" i="22"/>
  <c r="B52" i="23" s="1"/>
  <c r="K75" i="22"/>
  <c r="K75" i="23" s="1"/>
  <c r="F88" i="22"/>
  <c r="F88" i="23" s="1"/>
  <c r="G63" i="22"/>
  <c r="G63" i="23" s="1"/>
  <c r="F111" i="22"/>
  <c r="F111" i="23" s="1"/>
  <c r="H91" i="22"/>
  <c r="H91" i="23" s="1"/>
  <c r="H83" i="22"/>
  <c r="H83" i="23" s="1"/>
  <c r="F85" i="22"/>
  <c r="F85" i="23" s="1"/>
  <c r="I87" i="22"/>
  <c r="I87" i="23" s="1"/>
  <c r="D112" i="22"/>
  <c r="D112" i="23" s="1"/>
  <c r="I100" i="22"/>
  <c r="I100" i="23" s="1"/>
  <c r="I67" i="22"/>
  <c r="I67" i="23" s="1"/>
  <c r="B97" i="22"/>
  <c r="B97" i="23" s="1"/>
  <c r="E49" i="22"/>
  <c r="E49" i="23" s="1"/>
  <c r="H81" i="22"/>
  <c r="H81" i="23" s="1"/>
  <c r="G38" i="22"/>
  <c r="G38" i="23" s="1"/>
  <c r="C65" i="22"/>
  <c r="C65" i="23" s="1"/>
  <c r="E77" i="22"/>
  <c r="E77" i="23" s="1"/>
  <c r="I107" i="22"/>
  <c r="I107" i="23" s="1"/>
  <c r="I38" i="22"/>
  <c r="I38" i="23" s="1"/>
  <c r="D37" i="22"/>
  <c r="D37" i="23" s="1"/>
  <c r="K38" i="22"/>
  <c r="K38" i="23" s="1"/>
  <c r="G52" i="22"/>
  <c r="G52" i="23" s="1"/>
  <c r="K64" i="22"/>
  <c r="K64" i="23" s="1"/>
  <c r="C108" i="22"/>
  <c r="C108" i="23" s="1"/>
  <c r="H73" i="22"/>
  <c r="H73" i="23" s="1"/>
  <c r="D81" i="22"/>
  <c r="D81" i="23" s="1"/>
  <c r="C56" i="22"/>
  <c r="C56" i="23" s="1"/>
  <c r="C93" i="22"/>
  <c r="C93" i="23" s="1"/>
  <c r="D63" i="22"/>
  <c r="D63" i="23" s="1"/>
  <c r="K54" i="22"/>
  <c r="K54" i="23" s="1"/>
  <c r="D95" i="22"/>
  <c r="D95" i="23" s="1"/>
  <c r="G93" i="22"/>
  <c r="G93" i="23" s="1"/>
  <c r="B55" i="22"/>
  <c r="B55" i="23" s="1"/>
  <c r="F65" i="22"/>
  <c r="F65" i="23" s="1"/>
  <c r="C64" i="22"/>
  <c r="C64" i="23" s="1"/>
  <c r="E51" i="22"/>
  <c r="E51" i="23" s="1"/>
  <c r="C111" i="22"/>
  <c r="C111" i="23" s="1"/>
  <c r="H38" i="22"/>
  <c r="H38" i="23" s="1"/>
  <c r="C48" i="22"/>
  <c r="C48" i="23" s="1"/>
  <c r="G95" i="22"/>
  <c r="G95" i="23" s="1"/>
  <c r="J88" i="22"/>
  <c r="J88" i="23" s="1"/>
  <c r="C91" i="22"/>
  <c r="C91" i="23" s="1"/>
  <c r="B48" i="22"/>
  <c r="B48" i="23" s="1"/>
  <c r="D80" i="22"/>
  <c r="D80" i="23" s="1"/>
  <c r="K51" i="22"/>
  <c r="K51" i="23" s="1"/>
  <c r="K112" i="22"/>
  <c r="K112" i="23" s="1"/>
  <c r="F63" i="22"/>
  <c r="F63" i="23" s="1"/>
  <c r="E47" i="22"/>
  <c r="E47" i="23" s="1"/>
  <c r="K111" i="22"/>
  <c r="K111" i="23" s="1"/>
  <c r="J69" i="22"/>
  <c r="J69" i="23" s="1"/>
  <c r="E81" i="22"/>
  <c r="E81" i="23" s="1"/>
  <c r="C94" i="22"/>
  <c r="C94" i="23" s="1"/>
  <c r="E76" i="22"/>
  <c r="E76" i="23" s="1"/>
  <c r="C72" i="22"/>
  <c r="C72" i="23" s="1"/>
  <c r="E85" i="22"/>
  <c r="E85" i="23" s="1"/>
  <c r="J105" i="22"/>
  <c r="J105" i="23" s="1"/>
  <c r="E38" i="22"/>
  <c r="E38" i="23" s="1"/>
  <c r="F97" i="22"/>
  <c r="F97" i="23" s="1"/>
  <c r="J43" i="22"/>
  <c r="J43" i="23" s="1"/>
  <c r="G42" i="22"/>
  <c r="G42" i="23" s="1"/>
  <c r="K71" i="22"/>
  <c r="K71" i="23" s="1"/>
  <c r="E42" i="22"/>
  <c r="E42" i="23" s="1"/>
  <c r="C67" i="22"/>
  <c r="C67" i="23" s="1"/>
  <c r="G12" i="30"/>
  <c r="N73" i="6"/>
  <c r="G73" i="22"/>
  <c r="G73" i="23" s="1"/>
  <c r="E70" i="22"/>
  <c r="E70" i="23" s="1"/>
  <c r="I98" i="22"/>
  <c r="I98" i="23" s="1"/>
  <c r="G109" i="22"/>
  <c r="G109" i="23" s="1"/>
  <c r="E93" i="22"/>
  <c r="E93" i="23" s="1"/>
  <c r="E40" i="22"/>
  <c r="E40" i="23" s="1"/>
  <c r="K109" i="22"/>
  <c r="K109" i="23" s="1"/>
  <c r="G40" i="22"/>
  <c r="G40" i="23" s="1"/>
  <c r="F112" i="22"/>
  <c r="F112" i="23" s="1"/>
  <c r="K100" i="22"/>
  <c r="K100" i="23" s="1"/>
  <c r="F83" i="22"/>
  <c r="F83" i="23" s="1"/>
  <c r="E107" i="22"/>
  <c r="E107" i="23" s="1"/>
  <c r="C73" i="22"/>
  <c r="C73" i="23" s="1"/>
  <c r="D105" i="22"/>
  <c r="D105" i="23" s="1"/>
  <c r="H45" i="22"/>
  <c r="H45" i="23" s="1"/>
  <c r="E90" i="22"/>
  <c r="E90" i="23" s="1"/>
  <c r="I43" i="22"/>
  <c r="I43" i="23" s="1"/>
  <c r="H43" i="22"/>
  <c r="H43" i="23" s="1"/>
  <c r="I89" i="22"/>
  <c r="I89" i="23" s="1"/>
  <c r="J82" i="22"/>
  <c r="J82" i="23" s="1"/>
  <c r="D84" i="22"/>
  <c r="D84" i="23" s="1"/>
  <c r="D111" i="22"/>
  <c r="D111" i="23" s="1"/>
  <c r="H112" i="22"/>
  <c r="H112" i="23" s="1"/>
  <c r="H55" i="22"/>
  <c r="H55" i="23" s="1"/>
  <c r="H49" i="22"/>
  <c r="H49" i="23" s="1"/>
  <c r="K46" i="22"/>
  <c r="K46" i="23" s="1"/>
  <c r="K93" i="22"/>
  <c r="K93" i="23" s="1"/>
  <c r="I86" i="22"/>
  <c r="I86" i="23" s="1"/>
  <c r="K66" i="22"/>
  <c r="K66" i="23" s="1"/>
  <c r="K108" i="22"/>
  <c r="K108" i="23" s="1"/>
  <c r="J100" i="22"/>
  <c r="J100" i="23" s="1"/>
  <c r="J47" i="22"/>
  <c r="J47" i="23" s="1"/>
  <c r="F46" i="22"/>
  <c r="F46" i="23" s="1"/>
  <c r="J101" i="22"/>
  <c r="J101" i="23" s="1"/>
  <c r="K43" i="22"/>
  <c r="K43" i="23" s="1"/>
  <c r="E80" i="22"/>
  <c r="E80" i="23" s="1"/>
  <c r="B76" i="22"/>
  <c r="B76" i="23" s="1"/>
  <c r="D19" i="2"/>
  <c r="D11" i="2" s="1"/>
  <c r="F47" i="22"/>
  <c r="F47" i="23" s="1"/>
  <c r="B72" i="22"/>
  <c r="B72" i="23" s="1"/>
  <c r="F9" i="32"/>
  <c r="B78" i="22"/>
  <c r="B78" i="23" s="1"/>
  <c r="J51" i="22"/>
  <c r="J51" i="23" s="1"/>
  <c r="K88" i="22"/>
  <c r="K88" i="23" s="1"/>
  <c r="J72" i="22"/>
  <c r="J72" i="23" s="1"/>
  <c r="I92" i="22"/>
  <c r="I92" i="23" s="1"/>
  <c r="K89" i="22"/>
  <c r="K89" i="23" s="1"/>
  <c r="H44" i="22"/>
  <c r="H44" i="23" s="1"/>
  <c r="D107" i="22"/>
  <c r="D107" i="23" s="1"/>
  <c r="B93" i="22"/>
  <c r="B93" i="23" s="1"/>
  <c r="E86" i="22"/>
  <c r="E86" i="23" s="1"/>
  <c r="F108" i="22"/>
  <c r="F108" i="23" s="1"/>
  <c r="C86" i="22"/>
  <c r="C86" i="23" s="1"/>
  <c r="C90" i="22"/>
  <c r="C90" i="23" s="1"/>
  <c r="B47" i="22"/>
  <c r="B47" i="23" s="1"/>
  <c r="J90" i="22"/>
  <c r="J90" i="23" s="1"/>
  <c r="H77" i="22"/>
  <c r="H77" i="23" s="1"/>
  <c r="G83" i="22"/>
  <c r="G83" i="23" s="1"/>
  <c r="C49" i="22"/>
  <c r="C49" i="23" s="1"/>
  <c r="D78" i="22"/>
  <c r="D78" i="23" s="1"/>
  <c r="B38" i="22"/>
  <c r="B38" i="23" s="1"/>
  <c r="E74" i="22"/>
  <c r="E74" i="23" s="1"/>
  <c r="E102" i="22"/>
  <c r="E102" i="23" s="1"/>
  <c r="K95" i="22"/>
  <c r="K95" i="23" s="1"/>
  <c r="B91" i="22"/>
  <c r="B91" i="23" s="1"/>
  <c r="H75" i="22"/>
  <c r="H75" i="23" s="1"/>
  <c r="J84" i="22"/>
  <c r="J84" i="23" s="1"/>
  <c r="J106" i="22"/>
  <c r="J106" i="23" s="1"/>
  <c r="F94" i="22"/>
  <c r="F94" i="23" s="1"/>
  <c r="I53" i="22"/>
  <c r="I53" i="23" s="1"/>
  <c r="E99" i="22"/>
  <c r="E99" i="23" s="1"/>
  <c r="D82" i="22"/>
  <c r="D82" i="23" s="1"/>
  <c r="F110" i="22"/>
  <c r="F110" i="23" s="1"/>
  <c r="C76" i="22"/>
  <c r="C76" i="23" s="1"/>
  <c r="D53" i="22"/>
  <c r="D53" i="23" s="1"/>
  <c r="G41" i="22"/>
  <c r="G41" i="23" s="1"/>
  <c r="J53" i="22"/>
  <c r="J53" i="23" s="1"/>
  <c r="F82" i="22"/>
  <c r="F82" i="23" s="1"/>
  <c r="D86" i="22"/>
  <c r="D86" i="23" s="1"/>
  <c r="B84" i="22"/>
  <c r="B84" i="23" s="1"/>
  <c r="D77" i="22"/>
  <c r="D77" i="23" s="1"/>
  <c r="B92" i="22"/>
  <c r="B92" i="23" s="1"/>
  <c r="F45" i="22"/>
  <c r="F45" i="23" s="1"/>
  <c r="C81" i="22"/>
  <c r="C81" i="23" s="1"/>
  <c r="C63" i="22"/>
  <c r="C63" i="23" s="1"/>
  <c r="I54" i="22"/>
  <c r="I54" i="23" s="1"/>
  <c r="K110" i="22"/>
  <c r="K110" i="23" s="1"/>
  <c r="C69" i="22"/>
  <c r="C69" i="23" s="1"/>
  <c r="F84" i="22"/>
  <c r="F84" i="23" s="1"/>
  <c r="K78" i="22"/>
  <c r="K78" i="23" s="1"/>
  <c r="B46" i="22"/>
  <c r="B46" i="23" s="1"/>
  <c r="K91" i="22"/>
  <c r="K91" i="23" s="1"/>
  <c r="H103" i="22"/>
  <c r="H103" i="23" s="1"/>
  <c r="H46" i="22"/>
  <c r="H46" i="23" s="1"/>
  <c r="C74" i="22"/>
  <c r="C74" i="23" s="1"/>
  <c r="I76" i="22"/>
  <c r="I76" i="23" s="1"/>
  <c r="B103" i="22"/>
  <c r="B103" i="23" s="1"/>
  <c r="C52" i="22"/>
  <c r="C52" i="23" s="1"/>
  <c r="J77" i="22"/>
  <c r="J77" i="23" s="1"/>
  <c r="E37" i="22"/>
  <c r="E37" i="23" s="1"/>
  <c r="G68" i="22"/>
  <c r="G68" i="23" s="1"/>
  <c r="K90" i="22"/>
  <c r="K90" i="23" s="1"/>
  <c r="K81" i="22"/>
  <c r="K81" i="23" s="1"/>
  <c r="K52" i="22"/>
  <c r="K52" i="23" s="1"/>
  <c r="J80" i="22"/>
  <c r="J80" i="23" s="1"/>
  <c r="B99" i="22"/>
  <c r="B99" i="23" s="1"/>
  <c r="K67" i="22"/>
  <c r="K67" i="23" s="1"/>
  <c r="J70" i="22"/>
  <c r="J70" i="23" s="1"/>
  <c r="B104" i="22"/>
  <c r="B104" i="23" s="1"/>
  <c r="I83" i="22"/>
  <c r="I83" i="23" s="1"/>
  <c r="C39" i="22"/>
  <c r="C39" i="23" s="1"/>
  <c r="E56" i="22"/>
  <c r="E56" i="23" s="1"/>
  <c r="I106" i="22"/>
  <c r="I106" i="23" s="1"/>
  <c r="E43" i="22"/>
  <c r="E43" i="23" s="1"/>
  <c r="G74" i="22"/>
  <c r="G74" i="23" s="1"/>
  <c r="D102" i="22"/>
  <c r="D102" i="23" s="1"/>
  <c r="C100" i="22"/>
  <c r="C100" i="23" s="1"/>
  <c r="K53" i="22"/>
  <c r="K53" i="23" s="1"/>
  <c r="F55" i="22"/>
  <c r="F55" i="23" s="1"/>
  <c r="D55" i="22"/>
  <c r="D55" i="23" s="1"/>
  <c r="K47" i="22"/>
  <c r="K47" i="23" s="1"/>
  <c r="G76" i="22"/>
  <c r="G76" i="23" s="1"/>
  <c r="H109" i="22"/>
  <c r="H109" i="23" s="1"/>
  <c r="H68" i="22"/>
  <c r="H68" i="23" s="1"/>
  <c r="F64" i="22"/>
  <c r="F64" i="23" s="1"/>
  <c r="C38" i="22"/>
  <c r="C38" i="23" s="1"/>
  <c r="K80" i="22"/>
  <c r="K80" i="23" s="1"/>
  <c r="F71" i="22"/>
  <c r="F71" i="23" s="1"/>
  <c r="G78" i="22"/>
  <c r="G78" i="23" s="1"/>
  <c r="G69" i="22"/>
  <c r="G69" i="23" s="1"/>
  <c r="I69" i="22"/>
  <c r="I69" i="23" s="1"/>
  <c r="I111" i="22"/>
  <c r="I111" i="23" s="1"/>
  <c r="J110" i="22"/>
  <c r="J110" i="23" s="1"/>
  <c r="E103" i="22"/>
  <c r="E103" i="23" s="1"/>
  <c r="F41" i="22"/>
  <c r="F41" i="23" s="1"/>
  <c r="J37" i="22"/>
  <c r="J37" i="23" s="1"/>
  <c r="K103" i="22"/>
  <c r="K103" i="23" s="1"/>
  <c r="J83" i="22"/>
  <c r="J83" i="23" s="1"/>
  <c r="D87" i="22"/>
  <c r="D87" i="23" s="1"/>
  <c r="D98" i="22"/>
  <c r="D98" i="23" s="1"/>
  <c r="H85" i="22"/>
  <c r="H85" i="23" s="1"/>
  <c r="B44" i="22"/>
  <c r="B44" i="23" s="1"/>
  <c r="J39" i="22"/>
  <c r="J39" i="23" s="1"/>
  <c r="H89" i="22"/>
  <c r="H89" i="23" s="1"/>
  <c r="I56" i="22"/>
  <c r="I56" i="23" s="1"/>
  <c r="H92" i="22"/>
  <c r="H92" i="23" s="1"/>
  <c r="G39" i="22"/>
  <c r="G39" i="23" s="1"/>
  <c r="I94" i="22"/>
  <c r="I94" i="23" s="1"/>
  <c r="C80" i="22"/>
  <c r="C80" i="23" s="1"/>
  <c r="B43" i="22"/>
  <c r="B43" i="23" s="1"/>
  <c r="K104" i="22"/>
  <c r="K104" i="23" s="1"/>
  <c r="G53" i="22"/>
  <c r="G53" i="23" s="1"/>
  <c r="I37" i="22"/>
  <c r="I37" i="23" s="1"/>
  <c r="K106" i="22"/>
  <c r="K106" i="23" s="1"/>
  <c r="G51" i="22"/>
  <c r="G51" i="23" s="1"/>
  <c r="J10" i="28"/>
  <c r="J8" i="28" s="1"/>
  <c r="U88" i="6"/>
  <c r="U94" i="6" s="1"/>
  <c r="W11" i="6"/>
  <c r="W28" i="6" s="1"/>
  <c r="K27" i="28"/>
  <c r="K25" i="28" s="1"/>
  <c r="D39" i="22"/>
  <c r="D39" i="23" s="1"/>
  <c r="B51" i="22"/>
  <c r="B51" i="23" s="1"/>
  <c r="D56" i="22"/>
  <c r="D56" i="23" s="1"/>
  <c r="F38" i="22"/>
  <c r="F38" i="23" s="1"/>
  <c r="E101" i="22"/>
  <c r="E101" i="23" s="1"/>
  <c r="H27" i="30"/>
  <c r="H26" i="30" s="1"/>
  <c r="U14" i="6"/>
  <c r="U23" i="6" s="1"/>
  <c r="AA12" i="6"/>
  <c r="AA29" i="6" s="1"/>
  <c r="M28" i="28"/>
  <c r="M26" i="28" s="1"/>
  <c r="Q12" i="6"/>
  <c r="Q29" i="6" s="1"/>
  <c r="H28" i="28"/>
  <c r="H26" i="28" s="1"/>
  <c r="B64" i="25"/>
  <c r="Q9" i="6"/>
  <c r="Q26" i="6" s="1"/>
  <c r="H15" i="28"/>
  <c r="H13" i="28" s="1"/>
  <c r="K21" i="30"/>
  <c r="K20" i="30" s="1"/>
  <c r="AA8" i="6"/>
  <c r="AA21" i="6" s="1"/>
  <c r="D11" i="30"/>
  <c r="H28" i="5"/>
  <c r="S8" i="6"/>
  <c r="S21" i="6" s="1"/>
  <c r="G21" i="30"/>
  <c r="G20" i="30" s="1"/>
  <c r="H30" i="5"/>
  <c r="AC51" i="5"/>
  <c r="E28" i="5"/>
  <c r="O77" i="6"/>
  <c r="M32" i="8"/>
  <c r="M33" i="8" s="1"/>
  <c r="G33" i="8" s="1"/>
  <c r="O9" i="8" s="1"/>
  <c r="M6" i="10"/>
  <c r="F8" i="10"/>
  <c r="C8" i="10" s="1"/>
  <c r="AC37" i="5"/>
  <c r="N76" i="6"/>
  <c r="AC27" i="5"/>
  <c r="G27" i="5" s="1"/>
  <c r="D21" i="30"/>
  <c r="M8" i="6"/>
  <c r="T35" i="5"/>
  <c r="M14" i="6"/>
  <c r="AC33" i="5"/>
  <c r="G33" i="5" s="1"/>
  <c r="N79" i="6"/>
  <c r="D27" i="30"/>
  <c r="E21" i="30"/>
  <c r="E20" i="30" s="1"/>
  <c r="O8" i="6"/>
  <c r="O21" i="6" s="1"/>
  <c r="U35" i="5"/>
  <c r="G9" i="28"/>
  <c r="AC38" i="5"/>
  <c r="AG20" i="6"/>
  <c r="B55" i="25"/>
  <c r="M16" i="28"/>
  <c r="M14" i="28" s="1"/>
  <c r="AA10" i="6"/>
  <c r="AA27" i="6" s="1"/>
  <c r="Y9" i="6"/>
  <c r="Y26" i="6" s="1"/>
  <c r="L15" i="28"/>
  <c r="L13" i="28" s="1"/>
  <c r="W4" i="6"/>
  <c r="W17" i="6" s="1"/>
  <c r="I9" i="30"/>
  <c r="I8" i="30" s="1"/>
  <c r="Y35" i="5"/>
  <c r="AC30" i="5"/>
  <c r="R81" i="6" s="1"/>
  <c r="F27" i="28"/>
  <c r="M11" i="6"/>
  <c r="M28" i="6" s="1"/>
  <c r="Q81" i="6"/>
  <c r="M9" i="6"/>
  <c r="F15" i="28"/>
  <c r="AC28" i="5"/>
  <c r="L27" i="28"/>
  <c r="L25" i="28" s="1"/>
  <c r="Y11" i="6"/>
  <c r="Y28" i="6" s="1"/>
  <c r="L28" i="28"/>
  <c r="Y12" i="6"/>
  <c r="U89" i="6"/>
  <c r="U95" i="6" s="1"/>
  <c r="AG95" i="6" s="1"/>
  <c r="J22" i="28"/>
  <c r="J20" i="28" s="1"/>
  <c r="O20" i="28" s="1"/>
  <c r="Q80" i="6"/>
  <c r="K15" i="28"/>
  <c r="K13" i="28" s="1"/>
  <c r="W9" i="6"/>
  <c r="W26" i="6" s="1"/>
  <c r="S11" i="6"/>
  <c r="I27" i="28"/>
  <c r="I25" i="28" s="1"/>
  <c r="N10" i="28"/>
  <c r="N8" i="28" s="1"/>
  <c r="AC36" i="5"/>
  <c r="AC88" i="6"/>
  <c r="AC94" i="6" s="1"/>
  <c r="S14" i="6"/>
  <c r="S23" i="6" s="1"/>
  <c r="G27" i="30"/>
  <c r="G26" i="30" s="1"/>
  <c r="AA11" i="6"/>
  <c r="AA28" i="6" s="1"/>
  <c r="M27" i="28"/>
  <c r="M25" i="28" s="1"/>
  <c r="F21" i="28"/>
  <c r="AC39" i="5"/>
  <c r="Q78" i="6"/>
  <c r="N72" i="6"/>
  <c r="AC22" i="5"/>
  <c r="G22" i="5" s="1"/>
  <c r="M4" i="6"/>
  <c r="D9" i="30"/>
  <c r="D8" i="30" s="1"/>
  <c r="S13" i="6"/>
  <c r="G24" i="30"/>
  <c r="N78" i="6"/>
  <c r="S4" i="6"/>
  <c r="S17" i="6" s="1"/>
  <c r="G9" i="30"/>
  <c r="G8" i="30" s="1"/>
  <c r="I24" i="30"/>
  <c r="I23" i="30" s="1"/>
  <c r="W13" i="6"/>
  <c r="W22" i="6" s="1"/>
  <c r="N16" i="36"/>
  <c r="L17" i="36"/>
  <c r="N17" i="36" s="1"/>
  <c r="H31" i="5"/>
  <c r="C6" i="9"/>
  <c r="I16" i="8"/>
  <c r="J8" i="8"/>
  <c r="F8" i="30"/>
  <c r="F6" i="29"/>
  <c r="J6" i="29"/>
  <c r="C6" i="10"/>
  <c r="E11" i="10"/>
  <c r="H29" i="5"/>
  <c r="AC46" i="5"/>
  <c r="E9" i="26"/>
  <c r="F7" i="29"/>
  <c r="J7" i="29"/>
  <c r="J16" i="28"/>
  <c r="U10" i="6"/>
  <c r="Q79" i="6"/>
  <c r="AC29" i="5"/>
  <c r="C13" i="27"/>
  <c r="F13" i="27" s="1"/>
  <c r="D11" i="33"/>
  <c r="G11" i="33" s="1"/>
  <c r="D25" i="36"/>
  <c r="G25" i="36" s="1"/>
  <c r="M12" i="8"/>
  <c r="D10" i="9"/>
  <c r="H10" i="29"/>
  <c r="H45" i="5"/>
  <c r="Q7" i="10"/>
  <c r="F45" i="32"/>
  <c r="H45" i="32" s="1"/>
  <c r="E12" i="10"/>
  <c r="E7" i="10" s="1"/>
  <c r="D12" i="10"/>
  <c r="Y10" i="8"/>
  <c r="C28" i="9" s="1"/>
  <c r="D14" i="30"/>
  <c r="M14" i="30" s="1"/>
  <c r="M15" i="30"/>
  <c r="M17" i="30"/>
  <c r="M19" i="6"/>
  <c r="AG19" i="6" s="1"/>
  <c r="AE19" i="6"/>
  <c r="D15" i="33"/>
  <c r="AC54" i="5"/>
  <c r="H26" i="5"/>
  <c r="AG18" i="6"/>
  <c r="G11" i="30"/>
  <c r="M18" i="30"/>
  <c r="D7" i="33"/>
  <c r="C8" i="27"/>
  <c r="G23" i="5"/>
  <c r="AE18" i="6"/>
  <c r="F12" i="10" l="1"/>
  <c r="F7" i="10" s="1"/>
  <c r="R7" i="10" s="1"/>
  <c r="S7" i="10" s="1"/>
  <c r="D53" i="25"/>
  <c r="L19" i="36"/>
  <c r="F8" i="29"/>
  <c r="J8" i="29"/>
  <c r="F46" i="5"/>
  <c r="G45" i="5"/>
  <c r="J23" i="3"/>
  <c r="D45" i="3"/>
  <c r="D23" i="3"/>
  <c r="F9" i="29"/>
  <c r="J9" i="29"/>
  <c r="E111" i="25"/>
  <c r="G45" i="25"/>
  <c r="F72" i="25"/>
  <c r="F51" i="25"/>
  <c r="K88" i="25"/>
  <c r="G55" i="25"/>
  <c r="H69" i="25"/>
  <c r="F86" i="25"/>
  <c r="K77" i="25"/>
  <c r="I83" i="25"/>
  <c r="E72" i="25"/>
  <c r="C37" i="25"/>
  <c r="C88" i="25"/>
  <c r="H37" i="25"/>
  <c r="H87" i="25"/>
  <c r="F66" i="25"/>
  <c r="G87" i="25"/>
  <c r="C81" i="25"/>
  <c r="I44" i="25"/>
  <c r="J97" i="25"/>
  <c r="C42" i="25"/>
  <c r="G67" i="25"/>
  <c r="D42" i="25"/>
  <c r="H109" i="25"/>
  <c r="D70" i="25"/>
  <c r="H42" i="25"/>
  <c r="J93" i="25"/>
  <c r="I54" i="25"/>
  <c r="F107" i="25"/>
  <c r="J55" i="25"/>
  <c r="E101" i="25"/>
  <c r="E99" i="25"/>
  <c r="B85" i="25"/>
  <c r="J44" i="25"/>
  <c r="E110" i="25"/>
  <c r="F37" i="25"/>
  <c r="B44" i="25"/>
  <c r="K92" i="25"/>
  <c r="D68" i="25"/>
  <c r="F93" i="25"/>
  <c r="D96" i="25"/>
  <c r="E108" i="25"/>
  <c r="K96" i="25"/>
  <c r="J50" i="25"/>
  <c r="I49" i="25"/>
  <c r="H40" i="25"/>
  <c r="B96" i="25"/>
  <c r="G38" i="25"/>
  <c r="F41" i="25"/>
  <c r="K79" i="25"/>
  <c r="J41" i="25"/>
  <c r="G37" i="25"/>
  <c r="C107" i="25"/>
  <c r="J56" i="25"/>
  <c r="H81" i="25"/>
  <c r="J88" i="25"/>
  <c r="C76" i="25"/>
  <c r="J78" i="25"/>
  <c r="H66" i="25"/>
  <c r="G77" i="25"/>
  <c r="H52" i="25"/>
  <c r="B72" i="25"/>
  <c r="B91" i="25"/>
  <c r="I42" i="25"/>
  <c r="G86" i="25"/>
  <c r="E65" i="25"/>
  <c r="F69" i="25"/>
  <c r="I103" i="25"/>
  <c r="F67" i="25"/>
  <c r="D54" i="25"/>
  <c r="D40" i="25"/>
  <c r="B69" i="25"/>
  <c r="I47" i="25"/>
  <c r="I79" i="25"/>
  <c r="H63" i="25"/>
  <c r="B38" i="25"/>
  <c r="H79" i="25"/>
  <c r="D77" i="25"/>
  <c r="E104" i="25"/>
  <c r="H99" i="25"/>
  <c r="D87" i="25"/>
  <c r="J87" i="25"/>
  <c r="B53" i="25"/>
  <c r="B112" i="25"/>
  <c r="E96" i="25"/>
  <c r="H83" i="25"/>
  <c r="G110" i="25"/>
  <c r="J107" i="25"/>
  <c r="H104" i="25"/>
  <c r="F110" i="25"/>
  <c r="B77" i="25"/>
  <c r="K40" i="25"/>
  <c r="D41" i="25"/>
  <c r="F45" i="25"/>
  <c r="E112" i="25"/>
  <c r="C84" i="25"/>
  <c r="B105" i="25"/>
  <c r="F89" i="25"/>
  <c r="E63" i="25"/>
  <c r="K87" i="25"/>
  <c r="J80" i="25"/>
  <c r="H51" i="25"/>
  <c r="G51" i="25"/>
  <c r="D51" i="25"/>
  <c r="K111" i="25"/>
  <c r="D98" i="25"/>
  <c r="H71" i="25"/>
  <c r="G99" i="25"/>
  <c r="F56" i="25"/>
  <c r="H80" i="25"/>
  <c r="C102" i="25"/>
  <c r="C43" i="25"/>
  <c r="D92" i="25"/>
  <c r="I85" i="25"/>
  <c r="D38" i="25"/>
  <c r="K100" i="25"/>
  <c r="E64" i="25"/>
  <c r="K72" i="25"/>
  <c r="D71" i="25"/>
  <c r="I63" i="25"/>
  <c r="I104" i="25"/>
  <c r="I112" i="25"/>
  <c r="F71" i="25"/>
  <c r="G69" i="25"/>
  <c r="G85" i="25"/>
  <c r="H77" i="25"/>
  <c r="E52" i="25"/>
  <c r="B98" i="25"/>
  <c r="H94" i="25"/>
  <c r="K89" i="25"/>
  <c r="G107" i="25"/>
  <c r="E40" i="25"/>
  <c r="E95" i="25"/>
  <c r="B104" i="25"/>
  <c r="J79" i="25"/>
  <c r="J77" i="25"/>
  <c r="J84" i="25"/>
  <c r="J37" i="25"/>
  <c r="F64" i="25"/>
  <c r="K41" i="25"/>
  <c r="H89" i="25"/>
  <c r="J38" i="25"/>
  <c r="B63" i="25"/>
  <c r="J48" i="25"/>
  <c r="E86" i="25"/>
  <c r="G80" i="25"/>
  <c r="E78" i="25"/>
  <c r="J90" i="25"/>
  <c r="C92" i="25"/>
  <c r="H64" i="25"/>
  <c r="J83" i="25"/>
  <c r="C40" i="25"/>
  <c r="D76" i="25"/>
  <c r="E90" i="25"/>
  <c r="D109" i="25"/>
  <c r="C49" i="25"/>
  <c r="C96" i="25"/>
  <c r="K93" i="25"/>
  <c r="I108" i="25"/>
  <c r="E109" i="25"/>
  <c r="F103" i="25"/>
  <c r="I69" i="25"/>
  <c r="I68" i="25"/>
  <c r="B99" i="25"/>
  <c r="I53" i="25"/>
  <c r="G83" i="25"/>
  <c r="H56" i="25"/>
  <c r="H38" i="25"/>
  <c r="G108" i="25"/>
  <c r="I55" i="25"/>
  <c r="C77" i="25"/>
  <c r="E88" i="25"/>
  <c r="C48" i="25"/>
  <c r="F90" i="25"/>
  <c r="H107" i="25"/>
  <c r="D84" i="25"/>
  <c r="E67" i="25"/>
  <c r="K66" i="25"/>
  <c r="F88" i="25"/>
  <c r="E39" i="25"/>
  <c r="K105" i="25"/>
  <c r="E68" i="25"/>
  <c r="I77" i="25"/>
  <c r="I92" i="25"/>
  <c r="I98" i="25"/>
  <c r="C67" i="25"/>
  <c r="K97" i="25"/>
  <c r="K83" i="25"/>
  <c r="C53" i="25"/>
  <c r="E48" i="25"/>
  <c r="E71" i="25"/>
  <c r="E105" i="25"/>
  <c r="H85" i="25"/>
  <c r="H74" i="25"/>
  <c r="F39" i="25"/>
  <c r="G93" i="25"/>
  <c r="D69" i="25"/>
  <c r="I101" i="25"/>
  <c r="K38" i="25"/>
  <c r="D64" i="25"/>
  <c r="B78" i="25"/>
  <c r="F74" i="25"/>
  <c r="E37" i="25"/>
  <c r="F52" i="25"/>
  <c r="E97" i="25"/>
  <c r="C63" i="25"/>
  <c r="C100" i="25"/>
  <c r="F73" i="25"/>
  <c r="I45" i="25"/>
  <c r="D79" i="25"/>
  <c r="B89" i="25"/>
  <c r="D107" i="25"/>
  <c r="D81" i="25"/>
  <c r="B67" i="25"/>
  <c r="K64" i="25"/>
  <c r="G71" i="25"/>
  <c r="C68" i="25"/>
  <c r="G53" i="25"/>
  <c r="C75" i="25"/>
  <c r="F84" i="25"/>
  <c r="B51" i="25"/>
  <c r="G52" i="25"/>
  <c r="F76" i="25"/>
  <c r="D43" i="25"/>
  <c r="G106" i="25"/>
  <c r="F44" i="25"/>
  <c r="B111" i="25"/>
  <c r="I39" i="25"/>
  <c r="D50" i="25"/>
  <c r="F102" i="25"/>
  <c r="K106" i="25"/>
  <c r="C110" i="25"/>
  <c r="C46" i="25"/>
  <c r="G112" i="25"/>
  <c r="F63" i="25"/>
  <c r="J63" i="25"/>
  <c r="K110" i="25"/>
  <c r="H47" i="25"/>
  <c r="K103" i="25"/>
  <c r="B74" i="25"/>
  <c r="E107" i="25"/>
  <c r="K39" i="25"/>
  <c r="C93" i="25"/>
  <c r="K86" i="25"/>
  <c r="D97" i="25"/>
  <c r="O32" i="10"/>
  <c r="J68" i="25"/>
  <c r="H53" i="25"/>
  <c r="D75" i="25"/>
  <c r="E93" i="25"/>
  <c r="I93" i="25"/>
  <c r="F95" i="25"/>
  <c r="C69" i="25"/>
  <c r="K109" i="25"/>
  <c r="D89" i="25"/>
  <c r="J96" i="25"/>
  <c r="G44" i="25"/>
  <c r="B75" i="25"/>
  <c r="G76" i="25"/>
  <c r="G50" i="25"/>
  <c r="C79" i="25"/>
  <c r="C87" i="25"/>
  <c r="D105" i="25"/>
  <c r="E74" i="25"/>
  <c r="I72" i="25"/>
  <c r="B108" i="25"/>
  <c r="K81" i="25"/>
  <c r="F108" i="25"/>
  <c r="C71" i="25"/>
  <c r="I109" i="25"/>
  <c r="G109" i="25"/>
  <c r="D45" i="25"/>
  <c r="J45" i="25"/>
  <c r="K91" i="25"/>
  <c r="C112" i="25"/>
  <c r="I74" i="25"/>
  <c r="H82" i="25"/>
  <c r="G49" i="25"/>
  <c r="C73" i="25"/>
  <c r="D91" i="25"/>
  <c r="F38" i="25"/>
  <c r="B56" i="25"/>
  <c r="F70" i="25"/>
  <c r="F77" i="25"/>
  <c r="K98" i="25"/>
  <c r="B100" i="25"/>
  <c r="D56" i="25"/>
  <c r="I90" i="25"/>
  <c r="H44" i="25"/>
  <c r="J67" i="25"/>
  <c r="F40" i="25"/>
  <c r="G105" i="25"/>
  <c r="B41" i="25"/>
  <c r="H48" i="25"/>
  <c r="K53" i="25"/>
  <c r="K51" i="25"/>
  <c r="B73" i="25"/>
  <c r="K56" i="25"/>
  <c r="G111" i="25"/>
  <c r="F82" i="25"/>
  <c r="B66" i="25"/>
  <c r="F49" i="25"/>
  <c r="I48" i="25"/>
  <c r="D102" i="25"/>
  <c r="B82" i="25"/>
  <c r="C94" i="25"/>
  <c r="B103" i="25"/>
  <c r="D67" i="25"/>
  <c r="B81" i="25"/>
  <c r="D112" i="25"/>
  <c r="C39" i="25"/>
  <c r="I97" i="25"/>
  <c r="K78" i="25"/>
  <c r="F55" i="25"/>
  <c r="I73" i="25"/>
  <c r="B45" i="25"/>
  <c r="G54" i="25"/>
  <c r="J105" i="25"/>
  <c r="I86" i="25"/>
  <c r="J71" i="25"/>
  <c r="C65" i="25"/>
  <c r="D86" i="25"/>
  <c r="K50" i="25"/>
  <c r="F47" i="25"/>
  <c r="H100" i="25"/>
  <c r="H110" i="25"/>
  <c r="B46" i="25"/>
  <c r="E77" i="25"/>
  <c r="K101" i="25"/>
  <c r="F65" i="25"/>
  <c r="J53" i="25"/>
  <c r="I64" i="25"/>
  <c r="I66" i="25"/>
  <c r="I80" i="25"/>
  <c r="I91" i="25"/>
  <c r="K95" i="25"/>
  <c r="H72" i="25"/>
  <c r="K104" i="25"/>
  <c r="J76" i="25"/>
  <c r="C104" i="25"/>
  <c r="G92" i="25"/>
  <c r="H75" i="25"/>
  <c r="D103" i="25"/>
  <c r="K43" i="25"/>
  <c r="C72" i="25"/>
  <c r="J101" i="25"/>
  <c r="F92" i="25"/>
  <c r="G104" i="25"/>
  <c r="C105" i="25"/>
  <c r="F112" i="25"/>
  <c r="D37" i="25"/>
  <c r="B49" i="25"/>
  <c r="F68" i="25"/>
  <c r="D49" i="25"/>
  <c r="K44" i="25"/>
  <c r="E44" i="25"/>
  <c r="J51" i="25"/>
  <c r="G47" i="25"/>
  <c r="I70" i="25"/>
  <c r="H101" i="25"/>
  <c r="E45" i="25"/>
  <c r="J75" i="25"/>
  <c r="C52" i="25"/>
  <c r="J94" i="25"/>
  <c r="D85" i="25"/>
  <c r="J72" i="25"/>
  <c r="H54" i="25"/>
  <c r="E70" i="25"/>
  <c r="H111" i="25"/>
  <c r="C54" i="25"/>
  <c r="C74" i="25"/>
  <c r="D74" i="25"/>
  <c r="E41" i="25"/>
  <c r="I75" i="25"/>
  <c r="C109" i="25"/>
  <c r="C101" i="25"/>
  <c r="I96" i="25"/>
  <c r="D100" i="25"/>
  <c r="B48" i="25"/>
  <c r="B88" i="25"/>
  <c r="J64" i="25"/>
  <c r="I78" i="25"/>
  <c r="I95" i="25"/>
  <c r="C47" i="25"/>
  <c r="J54" i="25"/>
  <c r="J104" i="25"/>
  <c r="C89" i="25"/>
  <c r="J47" i="25"/>
  <c r="D65" i="25"/>
  <c r="C108" i="25"/>
  <c r="H43" i="25"/>
  <c r="I52" i="25"/>
  <c r="K107" i="25"/>
  <c r="G48" i="25"/>
  <c r="I81" i="25"/>
  <c r="D83" i="25"/>
  <c r="K76" i="25"/>
  <c r="E98" i="25"/>
  <c r="J43" i="25"/>
  <c r="E79" i="25"/>
  <c r="F83" i="25"/>
  <c r="D104" i="25"/>
  <c r="J103" i="25"/>
  <c r="J99" i="25"/>
  <c r="B109" i="25"/>
  <c r="H84" i="25"/>
  <c r="H103" i="25"/>
  <c r="J74" i="25"/>
  <c r="G102" i="25"/>
  <c r="B83" i="25"/>
  <c r="K67" i="25"/>
  <c r="F54" i="25"/>
  <c r="F85" i="25"/>
  <c r="C55" i="25"/>
  <c r="E94" i="25"/>
  <c r="E49" i="25"/>
  <c r="H39" i="25"/>
  <c r="J102" i="25"/>
  <c r="H45" i="25"/>
  <c r="H105" i="25"/>
  <c r="C90" i="25"/>
  <c r="H97" i="25"/>
  <c r="C91" i="25"/>
  <c r="E73" i="25"/>
  <c r="F100" i="25"/>
  <c r="G90" i="25"/>
  <c r="E85" i="25"/>
  <c r="B54" i="25"/>
  <c r="C98" i="25"/>
  <c r="I82" i="25"/>
  <c r="E66" i="25"/>
  <c r="H65" i="25"/>
  <c r="J85" i="25"/>
  <c r="E47" i="25"/>
  <c r="B97" i="25"/>
  <c r="I76" i="25"/>
  <c r="E89" i="25"/>
  <c r="G41" i="25"/>
  <c r="E84" i="25"/>
  <c r="J109" i="25"/>
  <c r="G97" i="25"/>
  <c r="D88" i="25"/>
  <c r="I46" i="25"/>
  <c r="I87" i="25"/>
  <c r="E100" i="25"/>
  <c r="D111" i="25"/>
  <c r="G82" i="25"/>
  <c r="G98" i="25"/>
  <c r="K42" i="25"/>
  <c r="B39" i="25"/>
  <c r="J95" i="25"/>
  <c r="E103" i="25"/>
  <c r="H106" i="25"/>
  <c r="D78" i="25"/>
  <c r="G78" i="25"/>
  <c r="I84" i="25"/>
  <c r="K74" i="25"/>
  <c r="K94" i="25"/>
  <c r="F91" i="25"/>
  <c r="G39" i="25"/>
  <c r="F43" i="25"/>
  <c r="E55" i="25"/>
  <c r="E51" i="25"/>
  <c r="D101" i="25"/>
  <c r="J92" i="25"/>
  <c r="E82" i="25"/>
  <c r="J112" i="25"/>
  <c r="E46" i="25"/>
  <c r="K47" i="25"/>
  <c r="J52" i="25"/>
  <c r="F109" i="25"/>
  <c r="C50" i="25"/>
  <c r="K55" i="25"/>
  <c r="K49" i="25"/>
  <c r="I56" i="25"/>
  <c r="H92" i="25"/>
  <c r="J42" i="25"/>
  <c r="C111" i="25"/>
  <c r="G94" i="25"/>
  <c r="C51" i="25"/>
  <c r="D99" i="25"/>
  <c r="D80" i="25"/>
  <c r="F111" i="25"/>
  <c r="B84" i="25"/>
  <c r="D95" i="25"/>
  <c r="F97" i="25"/>
  <c r="D106" i="25"/>
  <c r="I50" i="25"/>
  <c r="D52" i="25"/>
  <c r="J65" i="25"/>
  <c r="G43" i="25"/>
  <c r="B101" i="25"/>
  <c r="J86" i="25"/>
  <c r="C97" i="25"/>
  <c r="F104" i="25"/>
  <c r="B86" i="25"/>
  <c r="C44" i="25"/>
  <c r="B93" i="25"/>
  <c r="E54" i="25"/>
  <c r="G65" i="25"/>
  <c r="E69" i="25"/>
  <c r="K108" i="25"/>
  <c r="I38" i="25"/>
  <c r="G100" i="25"/>
  <c r="B70" i="25"/>
  <c r="H95" i="25"/>
  <c r="D93" i="25"/>
  <c r="C64" i="25"/>
  <c r="K85" i="25"/>
  <c r="F105" i="25"/>
  <c r="E38" i="25"/>
  <c r="C99" i="25"/>
  <c r="G91" i="25"/>
  <c r="I106" i="25"/>
  <c r="H67" i="25"/>
  <c r="E75" i="25"/>
  <c r="C66" i="25"/>
  <c r="F78" i="25"/>
  <c r="G66" i="25"/>
  <c r="K82" i="25"/>
  <c r="F75" i="25"/>
  <c r="H78" i="25"/>
  <c r="G40" i="25"/>
  <c r="C78" i="25"/>
  <c r="F98" i="25"/>
  <c r="H76" i="25"/>
  <c r="K90" i="25"/>
  <c r="D108" i="25"/>
  <c r="J98" i="25"/>
  <c r="H93" i="25"/>
  <c r="D63" i="25"/>
  <c r="E102" i="25"/>
  <c r="B102" i="25"/>
  <c r="B47" i="25"/>
  <c r="B42" i="25"/>
  <c r="H90" i="25"/>
  <c r="K48" i="25"/>
  <c r="K52" i="25"/>
  <c r="E80" i="25"/>
  <c r="E106" i="25"/>
  <c r="G75" i="25"/>
  <c r="H91" i="25"/>
  <c r="B71" i="25"/>
  <c r="K70" i="25"/>
  <c r="J66" i="25"/>
  <c r="C70" i="25"/>
  <c r="G63" i="25"/>
  <c r="J111" i="25"/>
  <c r="I94" i="25"/>
  <c r="I88" i="25"/>
  <c r="E53" i="25"/>
  <c r="G42" i="25"/>
  <c r="J89" i="25"/>
  <c r="J81" i="25"/>
  <c r="C103" i="25"/>
  <c r="F53" i="25"/>
  <c r="G81" i="25"/>
  <c r="D82" i="25"/>
  <c r="D90" i="25"/>
  <c r="B95" i="25"/>
  <c r="K80" i="25"/>
  <c r="E43" i="25"/>
  <c r="D47" i="25"/>
  <c r="C85" i="25"/>
  <c r="I99" i="25"/>
  <c r="D73" i="25"/>
  <c r="C38" i="25"/>
  <c r="I43" i="25"/>
  <c r="J73" i="25"/>
  <c r="K102" i="25"/>
  <c r="C86" i="25"/>
  <c r="C83" i="25"/>
  <c r="H112" i="25"/>
  <c r="C82" i="25"/>
  <c r="F79" i="25"/>
  <c r="G88" i="25"/>
  <c r="D46" i="25"/>
  <c r="G73" i="25"/>
  <c r="H49" i="25"/>
  <c r="F46" i="25"/>
  <c r="B40" i="25"/>
  <c r="E92" i="25"/>
  <c r="G96" i="25"/>
  <c r="I107" i="25"/>
  <c r="G72" i="25"/>
  <c r="B87" i="25"/>
  <c r="E83" i="25"/>
  <c r="E42" i="25"/>
  <c r="F87" i="25"/>
  <c r="G56" i="25"/>
  <c r="I110" i="25"/>
  <c r="B92" i="25"/>
  <c r="H70" i="25"/>
  <c r="H86" i="25"/>
  <c r="F99" i="25"/>
  <c r="E76" i="25"/>
  <c r="K112" i="25"/>
  <c r="C45" i="25"/>
  <c r="D110" i="25"/>
  <c r="J49" i="25"/>
  <c r="I111" i="25"/>
  <c r="B94" i="25"/>
  <c r="D66" i="25"/>
  <c r="F42" i="25"/>
  <c r="K37" i="25"/>
  <c r="G46" i="25"/>
  <c r="H98" i="25"/>
  <c r="I105" i="25"/>
  <c r="B107" i="25"/>
  <c r="K63" i="25"/>
  <c r="H96" i="25"/>
  <c r="F81" i="25"/>
  <c r="K45" i="25"/>
  <c r="J39" i="25"/>
  <c r="G89" i="25"/>
  <c r="H68" i="25"/>
  <c r="B76" i="25"/>
  <c r="J91" i="25"/>
  <c r="F94" i="25"/>
  <c r="C80" i="25"/>
  <c r="B43" i="25"/>
  <c r="B110" i="25"/>
  <c r="D48" i="25"/>
  <c r="I40" i="25"/>
  <c r="K84" i="25"/>
  <c r="F96" i="25"/>
  <c r="E81" i="25"/>
  <c r="I51" i="25"/>
  <c r="B79" i="25"/>
  <c r="G68" i="25"/>
  <c r="H73" i="25"/>
  <c r="C41" i="25"/>
  <c r="H108" i="25"/>
  <c r="K73" i="25"/>
  <c r="I41" i="25"/>
  <c r="B65" i="25"/>
  <c r="J46" i="25"/>
  <c r="C95" i="25"/>
  <c r="J82" i="25"/>
  <c r="J69" i="25"/>
  <c r="F101" i="25"/>
  <c r="D44" i="25"/>
  <c r="G70" i="25"/>
  <c r="F106" i="25"/>
  <c r="J106" i="25"/>
  <c r="G74" i="25"/>
  <c r="C106" i="25"/>
  <c r="B68" i="25"/>
  <c r="I100" i="25"/>
  <c r="H88" i="25"/>
  <c r="E87" i="25"/>
  <c r="I37" i="25"/>
  <c r="H102" i="25"/>
  <c r="H46" i="25"/>
  <c r="D39" i="25"/>
  <c r="J108" i="25"/>
  <c r="D55" i="25"/>
  <c r="D94" i="25"/>
  <c r="G79" i="25"/>
  <c r="K99" i="25"/>
  <c r="H55" i="25"/>
  <c r="I71" i="25"/>
  <c r="C56" i="25"/>
  <c r="F48" i="25"/>
  <c r="E56" i="25"/>
  <c r="B52" i="25"/>
  <c r="K69" i="25"/>
  <c r="G64" i="25"/>
  <c r="I65" i="25"/>
  <c r="K68" i="25"/>
  <c r="G101" i="25"/>
  <c r="F80" i="25"/>
  <c r="G103" i="25"/>
  <c r="K75" i="25"/>
  <c r="B106" i="25"/>
  <c r="H41" i="25"/>
  <c r="I67" i="25"/>
  <c r="J40" i="25"/>
  <c r="G95" i="25"/>
  <c r="I102" i="25"/>
  <c r="F50" i="25"/>
  <c r="B50" i="25"/>
  <c r="D72" i="25"/>
  <c r="I89" i="25"/>
  <c r="B80" i="25"/>
  <c r="J70" i="25"/>
  <c r="K65" i="25"/>
  <c r="H50" i="25"/>
  <c r="E50" i="25"/>
  <c r="B90" i="25"/>
  <c r="J110" i="25"/>
  <c r="M11" i="30"/>
  <c r="AE20" i="6"/>
  <c r="E19" i="2"/>
  <c r="O22" i="28"/>
  <c r="O8" i="28"/>
  <c r="G26" i="5"/>
  <c r="C25" i="8" s="1"/>
  <c r="M12" i="30"/>
  <c r="AE94" i="6"/>
  <c r="G84" i="25"/>
  <c r="K46" i="25"/>
  <c r="K71" i="25"/>
  <c r="E91" i="25"/>
  <c r="K54" i="25"/>
  <c r="AD51" i="5"/>
  <c r="D16" i="33" s="1"/>
  <c r="G16" i="33" s="1"/>
  <c r="K9" i="8"/>
  <c r="D7" i="9" s="1"/>
  <c r="O10" i="28"/>
  <c r="R80" i="6"/>
  <c r="E7" i="26"/>
  <c r="E15" i="26" s="1"/>
  <c r="N51" i="6"/>
  <c r="L54" i="6" s="1"/>
  <c r="L55" i="6" s="1"/>
  <c r="L56" i="6" s="1"/>
  <c r="L57" i="6" s="1"/>
  <c r="L58" i="6" s="1"/>
  <c r="L59" i="6" s="1"/>
  <c r="L60" i="6" s="1"/>
  <c r="L61" i="6" s="1"/>
  <c r="L62" i="6" s="1"/>
  <c r="L63" i="6" s="1"/>
  <c r="L64" i="6" s="1"/>
  <c r="L65" i="6" s="1"/>
  <c r="L66" i="6" s="1"/>
  <c r="AE95" i="6"/>
  <c r="N19" i="36"/>
  <c r="B28" i="36" s="1"/>
  <c r="D28" i="36" s="1"/>
  <c r="G28" i="36" s="1"/>
  <c r="B31" i="36" s="1"/>
  <c r="AG94" i="6"/>
  <c r="G23" i="6" s="1"/>
  <c r="M26" i="6"/>
  <c r="AG26" i="6" s="1"/>
  <c r="AE26" i="6"/>
  <c r="G31" i="5"/>
  <c r="F19" i="28"/>
  <c r="O19" i="28" s="1"/>
  <c r="O21" i="28"/>
  <c r="Y29" i="6"/>
  <c r="AG29" i="6" s="1"/>
  <c r="AE29" i="6"/>
  <c r="AE25" i="6"/>
  <c r="C14" i="27"/>
  <c r="F14" i="27" s="1"/>
  <c r="D12" i="33"/>
  <c r="G12" i="33" s="1"/>
  <c r="D20" i="30"/>
  <c r="M20" i="30" s="1"/>
  <c r="M21" i="30"/>
  <c r="N77" i="6"/>
  <c r="N81" i="6" s="1"/>
  <c r="M9" i="30"/>
  <c r="AE17" i="6"/>
  <c r="M17" i="6"/>
  <c r="AG17" i="6" s="1"/>
  <c r="L26" i="28"/>
  <c r="O26" i="28" s="1"/>
  <c r="O28" i="28"/>
  <c r="M23" i="6"/>
  <c r="AG23" i="6" s="1"/>
  <c r="AE23" i="6"/>
  <c r="D9" i="33"/>
  <c r="G9" i="33" s="1"/>
  <c r="C11" i="27"/>
  <c r="F11" i="27" s="1"/>
  <c r="S22" i="6"/>
  <c r="AG22" i="6" s="1"/>
  <c r="AE22" i="6"/>
  <c r="R78" i="6"/>
  <c r="G28" i="5"/>
  <c r="AC40" i="5"/>
  <c r="G30" i="5"/>
  <c r="M21" i="6"/>
  <c r="AG21" i="6" s="1"/>
  <c r="AE21" i="6"/>
  <c r="M8" i="30"/>
  <c r="G23" i="30"/>
  <c r="M23" i="30" s="1"/>
  <c r="M24" i="30"/>
  <c r="D6" i="33"/>
  <c r="G6" i="33" s="1"/>
  <c r="C7" i="27"/>
  <c r="F7" i="27" s="1"/>
  <c r="AE28" i="6"/>
  <c r="S28" i="6"/>
  <c r="AG28" i="6" s="1"/>
  <c r="F13" i="28"/>
  <c r="O13" i="28" s="1"/>
  <c r="O15" i="28"/>
  <c r="F25" i="28"/>
  <c r="O25" i="28" s="1"/>
  <c r="O27" i="28"/>
  <c r="G7" i="28"/>
  <c r="O7" i="28" s="1"/>
  <c r="O9" i="28"/>
  <c r="M27" i="30"/>
  <c r="D26" i="30"/>
  <c r="M26" i="30" s="1"/>
  <c r="AD31" i="5"/>
  <c r="G29" i="5"/>
  <c r="D10" i="33"/>
  <c r="G10" i="33" s="1"/>
  <c r="R79" i="6"/>
  <c r="E5" i="10"/>
  <c r="C11" i="10"/>
  <c r="D5" i="10" s="1"/>
  <c r="J14" i="28"/>
  <c r="O14" i="28" s="1"/>
  <c r="O16" i="28"/>
  <c r="J10" i="29"/>
  <c r="F10" i="29"/>
  <c r="D26" i="26"/>
  <c r="E17" i="26"/>
  <c r="N9" i="8"/>
  <c r="F7" i="9" s="1"/>
  <c r="R6" i="10"/>
  <c r="F48" i="32"/>
  <c r="H48" i="32" s="1"/>
  <c r="U27" i="6"/>
  <c r="AG27" i="6" s="1"/>
  <c r="AE27" i="6"/>
  <c r="H36" i="5"/>
  <c r="D36" i="6" s="1"/>
  <c r="R51" i="6"/>
  <c r="G7" i="33"/>
  <c r="F8" i="27"/>
  <c r="G15" i="33"/>
  <c r="F49" i="32" l="1"/>
  <c r="H49" i="32" s="1"/>
  <c r="S17" i="10"/>
  <c r="O19" i="10" s="1"/>
  <c r="C12" i="10"/>
  <c r="D7" i="10" s="1"/>
  <c r="D25" i="8"/>
  <c r="G46" i="5"/>
  <c r="H46" i="5"/>
  <c r="H48" i="5" s="1"/>
  <c r="G34" i="5" s="1"/>
  <c r="M15" i="6" s="1"/>
  <c r="F48" i="5"/>
  <c r="H11" i="29"/>
  <c r="C10" i="27"/>
  <c r="F10" i="27" s="1"/>
  <c r="M9" i="8"/>
  <c r="AD40" i="5"/>
  <c r="AD41" i="5" s="1"/>
  <c r="D17" i="33"/>
  <c r="G17" i="33"/>
  <c r="AD52" i="5"/>
  <c r="AD53" i="5" s="1"/>
  <c r="E18" i="26"/>
  <c r="C21" i="26" s="1"/>
  <c r="R82" i="6"/>
  <c r="O29" i="28"/>
  <c r="D14" i="33"/>
  <c r="AG37" i="6"/>
  <c r="O30" i="28"/>
  <c r="G53" i="6"/>
  <c r="G13" i="8" s="1"/>
  <c r="D31" i="36"/>
  <c r="G31" i="36" s="1"/>
  <c r="G34" i="36" s="1"/>
  <c r="Q6" i="10"/>
  <c r="S6" i="10" s="1"/>
  <c r="F44" i="32"/>
  <c r="H44" i="32" s="1"/>
  <c r="R5" i="10"/>
  <c r="R8" i="10" s="1"/>
  <c r="F47" i="32"/>
  <c r="H47" i="32" s="1"/>
  <c r="M54" i="6"/>
  <c r="F43" i="32"/>
  <c r="H43" i="32" s="1"/>
  <c r="Q5" i="10"/>
  <c r="C40" i="8"/>
  <c r="C12" i="27"/>
  <c r="C39" i="8"/>
  <c r="P54" i="6"/>
  <c r="P55" i="6" s="1"/>
  <c r="P56" i="6" s="1"/>
  <c r="P57" i="6" s="1"/>
  <c r="P58" i="6" s="1"/>
  <c r="P59" i="6" s="1"/>
  <c r="P60" i="6" s="1"/>
  <c r="P61" i="6" s="1"/>
  <c r="P62" i="6" s="1"/>
  <c r="P63" i="6" s="1"/>
  <c r="AD54" i="5" l="1"/>
  <c r="G35" i="5"/>
  <c r="G37" i="5" s="1"/>
  <c r="G38" i="5" s="1"/>
  <c r="B88" i="6" s="1"/>
  <c r="G88" i="6" s="1"/>
  <c r="B45" i="6" s="1"/>
  <c r="C35" i="8"/>
  <c r="B56" i="6"/>
  <c r="D56" i="6" s="1"/>
  <c r="G56" i="6" s="1"/>
  <c r="D13" i="33"/>
  <c r="G13" i="33" s="1"/>
  <c r="G14" i="33" s="1"/>
  <c r="G18" i="33" s="1"/>
  <c r="AP80" i="15"/>
  <c r="AP82" i="15" s="1"/>
  <c r="C34" i="8"/>
  <c r="C26" i="8" s="1"/>
  <c r="D18" i="33"/>
  <c r="H13" i="29"/>
  <c r="J11" i="29"/>
  <c r="J13" i="29" s="1"/>
  <c r="F11" i="29"/>
  <c r="C27" i="8"/>
  <c r="C41" i="8"/>
  <c r="C42" i="8" s="1"/>
  <c r="C29" i="8" s="1"/>
  <c r="H50" i="32"/>
  <c r="AE24" i="6"/>
  <c r="M24" i="6"/>
  <c r="AG24" i="6" s="1"/>
  <c r="AG25" i="6" s="1"/>
  <c r="S5" i="10"/>
  <c r="S16" i="10" s="1"/>
  <c r="Q8" i="10"/>
  <c r="S8" i="10" s="1"/>
  <c r="D8" i="17" s="1"/>
  <c r="F12" i="27"/>
  <c r="F15" i="27" s="1"/>
  <c r="C15" i="27"/>
  <c r="M55" i="6"/>
  <c r="N54" i="6"/>
  <c r="Q54" i="6"/>
  <c r="R54" i="6" s="1"/>
  <c r="B20" i="6" l="1"/>
  <c r="AR82" i="15"/>
  <c r="B71" i="6"/>
  <c r="F71" i="6" s="1"/>
  <c r="D17" i="4"/>
  <c r="G19" i="8" s="1"/>
  <c r="C36" i="8"/>
  <c r="C37" i="8" s="1"/>
  <c r="C28" i="8" s="1"/>
  <c r="D30" i="8" s="1"/>
  <c r="J34" i="8" s="1"/>
  <c r="B53" i="6"/>
  <c r="D53" i="6" s="1"/>
  <c r="B36" i="6"/>
  <c r="G36" i="6" s="1"/>
  <c r="B39" i="6" s="1"/>
  <c r="D39" i="6" s="1"/>
  <c r="G39" i="6" s="1"/>
  <c r="G41" i="6" s="1"/>
  <c r="D11" i="4" s="1"/>
  <c r="G11" i="8" s="1"/>
  <c r="G14" i="8"/>
  <c r="G58" i="6"/>
  <c r="D14" i="4" s="1"/>
  <c r="C23" i="32"/>
  <c r="H23" i="32" s="1"/>
  <c r="E29" i="32" s="1"/>
  <c r="C17" i="32"/>
  <c r="H17" i="32" s="1"/>
  <c r="E27" i="32" s="1"/>
  <c r="B23" i="6"/>
  <c r="D23" i="6" s="1"/>
  <c r="N55" i="6"/>
  <c r="M56" i="6"/>
  <c r="AG38" i="6"/>
  <c r="G20" i="6"/>
  <c r="G25" i="6" s="1"/>
  <c r="C31" i="8"/>
  <c r="D31" i="8"/>
  <c r="M41" i="8" s="1"/>
  <c r="M42" i="8" s="1"/>
  <c r="M43" i="8" s="1"/>
  <c r="K13" i="8" s="1"/>
  <c r="Q55" i="6"/>
  <c r="R55" i="6" s="1"/>
  <c r="D45" i="6"/>
  <c r="E45" i="6"/>
  <c r="D71" i="6" l="1"/>
  <c r="B75" i="6" s="1"/>
  <c r="G75" i="6" s="1"/>
  <c r="D19" i="4" s="1"/>
  <c r="C30" i="8"/>
  <c r="J37" i="8" s="1"/>
  <c r="J38" i="8" s="1"/>
  <c r="J39" i="8" s="1"/>
  <c r="H11" i="8" s="1"/>
  <c r="Q56" i="6"/>
  <c r="R56" i="6" s="1"/>
  <c r="M34" i="8"/>
  <c r="N56" i="6"/>
  <c r="M57" i="6"/>
  <c r="M13" i="8"/>
  <c r="N34" i="8"/>
  <c r="D10" i="4"/>
  <c r="B11" i="36"/>
  <c r="D11" i="36" s="1"/>
  <c r="G11" i="36" s="1"/>
  <c r="G37" i="36" s="1"/>
  <c r="N37" i="8"/>
  <c r="M44" i="8"/>
  <c r="M45" i="8" s="1"/>
  <c r="K14" i="8" s="1"/>
  <c r="M14" i="8" s="1"/>
  <c r="N44" i="8"/>
  <c r="N45" i="8" s="1"/>
  <c r="G15" i="8"/>
  <c r="J41" i="8"/>
  <c r="N41" i="8"/>
  <c r="D20" i="6"/>
  <c r="G45" i="6"/>
  <c r="D12" i="4" s="1"/>
  <c r="G22" i="8" s="1"/>
  <c r="J49" i="8"/>
  <c r="J50" i="8" s="1"/>
  <c r="G71" i="6"/>
  <c r="B79" i="6"/>
  <c r="Q57" i="6"/>
  <c r="M37" i="8" l="1"/>
  <c r="M49" i="8" s="1"/>
  <c r="M50" i="8" s="1"/>
  <c r="G34" i="8"/>
  <c r="G45" i="8"/>
  <c r="N14" i="8" s="1"/>
  <c r="N57" i="6"/>
  <c r="M58" i="6"/>
  <c r="J42" i="8"/>
  <c r="J43" i="8" s="1"/>
  <c r="G41" i="8"/>
  <c r="N42" i="8" s="1"/>
  <c r="N43" i="8" s="1"/>
  <c r="G10" i="8"/>
  <c r="B62" i="6"/>
  <c r="D62" i="6" s="1"/>
  <c r="G62" i="6" s="1"/>
  <c r="D15" i="4" s="1"/>
  <c r="G17" i="8" s="1"/>
  <c r="K15" i="8"/>
  <c r="M19" i="8"/>
  <c r="R57" i="6"/>
  <c r="Q58" i="6"/>
  <c r="B9" i="9"/>
  <c r="J11" i="8"/>
  <c r="J19" i="8"/>
  <c r="D79" i="6"/>
  <c r="G79" i="6" s="1"/>
  <c r="D18" i="4"/>
  <c r="G37" i="8" l="1"/>
  <c r="N38" i="8" s="1"/>
  <c r="N39" i="8" s="1"/>
  <c r="M38" i="8"/>
  <c r="M39" i="8" s="1"/>
  <c r="K11" i="8" s="1"/>
  <c r="M11" i="8" s="1"/>
  <c r="O14" i="8"/>
  <c r="D16" i="4"/>
  <c r="H13" i="8"/>
  <c r="G43" i="8"/>
  <c r="N58" i="6"/>
  <c r="M59" i="6"/>
  <c r="D11" i="9"/>
  <c r="M15" i="8"/>
  <c r="J35" i="8"/>
  <c r="J36" i="8" s="1"/>
  <c r="H10" i="8" s="1"/>
  <c r="M35" i="8"/>
  <c r="M36" i="8" s="1"/>
  <c r="K10" i="8" s="1"/>
  <c r="N35" i="8"/>
  <c r="N36" i="8" s="1"/>
  <c r="G16" i="8"/>
  <c r="H46" i="8" s="1"/>
  <c r="D20" i="4"/>
  <c r="G81" i="6"/>
  <c r="Q59" i="6"/>
  <c r="R58" i="6"/>
  <c r="N49" i="8" l="1"/>
  <c r="N50" i="8" s="1"/>
  <c r="G50" i="8" s="1"/>
  <c r="O19" i="8" s="1"/>
  <c r="D9" i="9"/>
  <c r="G39" i="8"/>
  <c r="O11" i="8" s="1"/>
  <c r="M51" i="8"/>
  <c r="D21" i="4"/>
  <c r="F18" i="4" s="1"/>
  <c r="D8" i="9"/>
  <c r="M10" i="8"/>
  <c r="K16" i="8"/>
  <c r="M16" i="8" s="1"/>
  <c r="M46" i="8" s="1"/>
  <c r="M47" i="8" s="1"/>
  <c r="N59" i="6"/>
  <c r="M60" i="6"/>
  <c r="G36" i="8"/>
  <c r="B8" i="9"/>
  <c r="J10" i="8"/>
  <c r="I46" i="8"/>
  <c r="G18" i="8"/>
  <c r="O13" i="8"/>
  <c r="N13" i="8"/>
  <c r="N15" i="8" s="1"/>
  <c r="F11" i="9" s="1"/>
  <c r="J13" i="8"/>
  <c r="H15" i="8"/>
  <c r="G20" i="8"/>
  <c r="M52" i="8" s="1"/>
  <c r="M53" i="8" s="1"/>
  <c r="R59" i="6"/>
  <c r="Q60" i="6"/>
  <c r="J51" i="8" l="1"/>
  <c r="N51" i="8"/>
  <c r="N19" i="8" s="1"/>
  <c r="F13" i="9" s="1"/>
  <c r="N11" i="8"/>
  <c r="F9" i="9" s="1"/>
  <c r="F20" i="4"/>
  <c r="F14" i="4"/>
  <c r="F12" i="4"/>
  <c r="F8" i="4"/>
  <c r="F15" i="4"/>
  <c r="F17" i="4"/>
  <c r="F13" i="4"/>
  <c r="F21" i="4"/>
  <c r="F16" i="4"/>
  <c r="F19" i="4"/>
  <c r="F11" i="4"/>
  <c r="F10" i="4"/>
  <c r="C20" i="26"/>
  <c r="E20" i="26" s="1"/>
  <c r="E24" i="26" s="1"/>
  <c r="D24" i="4"/>
  <c r="F9" i="4"/>
  <c r="G25" i="8"/>
  <c r="J15" i="8"/>
  <c r="B11" i="9"/>
  <c r="O10" i="8"/>
  <c r="N10" i="8"/>
  <c r="H16" i="8"/>
  <c r="J16" i="8" s="1"/>
  <c r="J46" i="8" s="1"/>
  <c r="J47" i="8" s="1"/>
  <c r="J17" i="8" s="1"/>
  <c r="G21" i="8"/>
  <c r="G23" i="8" s="1"/>
  <c r="M61" i="6"/>
  <c r="N60" i="6"/>
  <c r="N52" i="8"/>
  <c r="N53" i="8" s="1"/>
  <c r="J52" i="8"/>
  <c r="J53" i="8" s="1"/>
  <c r="M20" i="8"/>
  <c r="R60" i="6"/>
  <c r="Q61" i="6"/>
  <c r="M17" i="8"/>
  <c r="E26" i="26" l="1"/>
  <c r="D36" i="26" s="1"/>
  <c r="E23" i="26"/>
  <c r="C33" i="26" s="1"/>
  <c r="E39" i="26" s="1"/>
  <c r="E25" i="26"/>
  <c r="D35" i="26" s="1"/>
  <c r="G53" i="8"/>
  <c r="O20" i="8" s="1"/>
  <c r="F8" i="9"/>
  <c r="N16" i="8"/>
  <c r="N46" i="8" s="1"/>
  <c r="G46" i="8" s="1"/>
  <c r="N47" i="8" s="1"/>
  <c r="G47" i="8" s="1"/>
  <c r="O17" i="8" s="1"/>
  <c r="N61" i="6"/>
  <c r="M62" i="6"/>
  <c r="J20" i="8"/>
  <c r="D34" i="26"/>
  <c r="E40" i="26" s="1"/>
  <c r="B28" i="2" s="1"/>
  <c r="H47" i="8"/>
  <c r="I47" i="8"/>
  <c r="I17" i="8" s="1"/>
  <c r="J18" i="8"/>
  <c r="K47" i="8"/>
  <c r="L47" i="8"/>
  <c r="L17" i="8" s="1"/>
  <c r="M18" i="8"/>
  <c r="M21" i="8" s="1"/>
  <c r="R61" i="6"/>
  <c r="Q62" i="6"/>
  <c r="N54" i="8" l="1"/>
  <c r="N20" i="8" s="1"/>
  <c r="F14" i="9" s="1"/>
  <c r="C34" i="26"/>
  <c r="C35" i="26" s="1"/>
  <c r="C36" i="26" s="1"/>
  <c r="E28" i="26"/>
  <c r="E29" i="26"/>
  <c r="M54" i="8"/>
  <c r="J48" i="8"/>
  <c r="N48" i="8"/>
  <c r="N17" i="8" s="1"/>
  <c r="F12" i="9" s="1"/>
  <c r="M48" i="8"/>
  <c r="J54" i="8"/>
  <c r="N62" i="6"/>
  <c r="M63" i="6"/>
  <c r="J21" i="8"/>
  <c r="K48" i="8"/>
  <c r="K17" i="8" s="1"/>
  <c r="L18" i="8"/>
  <c r="E12" i="9"/>
  <c r="C12" i="9"/>
  <c r="I18" i="8"/>
  <c r="B27" i="2"/>
  <c r="E41" i="26"/>
  <c r="C27" i="2" s="1"/>
  <c r="R62" i="6"/>
  <c r="Q63" i="6"/>
  <c r="H48" i="8"/>
  <c r="H17" i="8" s="1"/>
  <c r="M55" i="8"/>
  <c r="M56" i="8" s="1"/>
  <c r="J55" i="8"/>
  <c r="N18" i="8" l="1"/>
  <c r="N21" i="8" s="1"/>
  <c r="N55" i="8" s="1"/>
  <c r="G55" i="8" s="1"/>
  <c r="M64" i="6"/>
  <c r="N63" i="6"/>
  <c r="B12" i="9"/>
  <c r="H18" i="8"/>
  <c r="M22" i="8"/>
  <c r="I49" i="8"/>
  <c r="J56" i="8"/>
  <c r="D12" i="9"/>
  <c r="K18" i="8"/>
  <c r="R63" i="6"/>
  <c r="Q64" i="6"/>
  <c r="L49" i="8"/>
  <c r="N64" i="6" l="1"/>
  <c r="M65" i="6"/>
  <c r="M23" i="8"/>
  <c r="M59" i="8" s="1"/>
  <c r="M60" i="8" s="1"/>
  <c r="K49" i="8"/>
  <c r="R64" i="6"/>
  <c r="S64" i="6" s="1"/>
  <c r="N56" i="8"/>
  <c r="G56" i="8" s="1"/>
  <c r="J57" i="8" s="1"/>
  <c r="L50" i="8"/>
  <c r="L19" i="8" s="1"/>
  <c r="L53" i="8"/>
  <c r="L20" i="8" s="1"/>
  <c r="E14" i="9" s="1"/>
  <c r="H49" i="8"/>
  <c r="J22" i="8"/>
  <c r="I50" i="8"/>
  <c r="I19" i="8" s="1"/>
  <c r="I53" i="8"/>
  <c r="I20" i="8" s="1"/>
  <c r="C14" i="9" s="1"/>
  <c r="M66" i="6" l="1"/>
  <c r="N65" i="6"/>
  <c r="M62" i="8"/>
  <c r="J23" i="8"/>
  <c r="J59" i="8" s="1"/>
  <c r="C13" i="9"/>
  <c r="I21" i="8"/>
  <c r="E13" i="9"/>
  <c r="L21" i="8"/>
  <c r="O22" i="8"/>
  <c r="M57" i="8"/>
  <c r="H50" i="8"/>
  <c r="H53" i="8"/>
  <c r="N57" i="8"/>
  <c r="N22" i="8" s="1"/>
  <c r="K50" i="8"/>
  <c r="K53" i="8"/>
  <c r="N66" i="6" l="1"/>
  <c r="N67" i="6" s="1"/>
  <c r="M67" i="6"/>
  <c r="F15" i="9"/>
  <c r="F16" i="9" s="1"/>
  <c r="N23" i="8"/>
  <c r="J60" i="8"/>
  <c r="H54" i="8"/>
  <c r="H20" i="8" s="1"/>
  <c r="B14" i="9" s="1"/>
  <c r="L55" i="8"/>
  <c r="L56" i="8" s="1"/>
  <c r="L22" i="8" s="1"/>
  <c r="E15" i="9" s="1"/>
  <c r="E16" i="9" s="1"/>
  <c r="K54" i="8"/>
  <c r="K20" i="8" s="1"/>
  <c r="D14" i="9" s="1"/>
  <c r="H51" i="8"/>
  <c r="H19" i="8" s="1"/>
  <c r="K51" i="8"/>
  <c r="K19" i="8" s="1"/>
  <c r="I55" i="8"/>
  <c r="I56" i="8" s="1"/>
  <c r="I22" i="8" s="1"/>
  <c r="C15" i="9" s="1"/>
  <c r="C16" i="9" s="1"/>
  <c r="M25" i="8"/>
  <c r="O67" i="6" l="1"/>
  <c r="T52" i="6"/>
  <c r="B13" i="9"/>
  <c r="H21" i="8"/>
  <c r="L23" i="8"/>
  <c r="L59" i="8" s="1"/>
  <c r="L60" i="8" s="1"/>
  <c r="L62" i="8" s="1"/>
  <c r="L25" i="8" s="1"/>
  <c r="D13" i="9"/>
  <c r="K21" i="8"/>
  <c r="I23" i="8"/>
  <c r="N59" i="8"/>
  <c r="R9" i="8"/>
  <c r="W9" i="8" s="1"/>
  <c r="J11" i="10" s="1"/>
  <c r="J62" i="8"/>
  <c r="M22" i="10" l="1"/>
  <c r="M11" i="10" s="1"/>
  <c r="M14" i="10" s="1"/>
  <c r="Q9" i="10"/>
  <c r="L22" i="10"/>
  <c r="L11" i="10" s="1"/>
  <c r="L14" i="10" s="1"/>
  <c r="K22" i="10"/>
  <c r="J14" i="10"/>
  <c r="J25" i="8"/>
  <c r="G59" i="8"/>
  <c r="N60" i="8" s="1"/>
  <c r="R6" i="8"/>
  <c r="I59" i="8"/>
  <c r="I60" i="8" s="1"/>
  <c r="I62" i="8" s="1"/>
  <c r="I25" i="8" s="1"/>
  <c r="H55" i="8"/>
  <c r="H56" i="8" s="1"/>
  <c r="K55" i="8"/>
  <c r="K56" i="8" s="1"/>
  <c r="J22" i="10" l="1"/>
  <c r="K11" i="10" s="1"/>
  <c r="K14" i="10" s="1"/>
  <c r="K57" i="8"/>
  <c r="K22" i="8" s="1"/>
  <c r="W6" i="8"/>
  <c r="H57" i="8"/>
  <c r="H22" i="8" s="1"/>
  <c r="Q11" i="10"/>
  <c r="Q10" i="10"/>
  <c r="H22" i="2" s="1"/>
  <c r="G60" i="8"/>
  <c r="O25" i="8" s="1"/>
  <c r="B15" i="9" l="1"/>
  <c r="B16" i="9" s="1"/>
  <c r="H23" i="8"/>
  <c r="D15" i="9"/>
  <c r="D16" i="9" s="1"/>
  <c r="K23" i="8"/>
  <c r="J5" i="10"/>
  <c r="N62" i="8"/>
  <c r="N25" i="8" s="1"/>
  <c r="K59" i="8" l="1"/>
  <c r="K60" i="8" s="1"/>
  <c r="R8" i="8"/>
  <c r="W8" i="8" s="1"/>
  <c r="J9" i="10" s="1"/>
  <c r="L23" i="10"/>
  <c r="L5" i="10" s="1"/>
  <c r="M23" i="10"/>
  <c r="M5" i="10" s="1"/>
  <c r="K23" i="10"/>
  <c r="H59" i="8"/>
  <c r="H60" i="8" s="1"/>
  <c r="R7" i="8"/>
  <c r="W7" i="8" l="1"/>
  <c r="R10" i="8"/>
  <c r="J23" i="10"/>
  <c r="K5" i="10" s="1"/>
  <c r="H61" i="8"/>
  <c r="H62" i="8" s="1"/>
  <c r="H25" i="8" s="1"/>
  <c r="K21" i="10"/>
  <c r="M21" i="10"/>
  <c r="M9" i="10" s="1"/>
  <c r="L21" i="10"/>
  <c r="L9" i="10" s="1"/>
  <c r="K61" i="8"/>
  <c r="K62" i="8" s="1"/>
  <c r="K25" i="8" s="1"/>
  <c r="J7" i="10" l="1"/>
  <c r="W10" i="8"/>
  <c r="A28" i="9" s="1"/>
  <c r="J21" i="10"/>
  <c r="K9" i="10" s="1"/>
  <c r="C14" i="32" l="1"/>
  <c r="H14" i="32" s="1"/>
  <c r="E26" i="32" s="1"/>
  <c r="H26" i="32" s="1"/>
  <c r="C20" i="32"/>
  <c r="H20" i="32" s="1"/>
  <c r="E28" i="32" s="1"/>
  <c r="H28" i="32" s="1"/>
  <c r="A8" i="17"/>
  <c r="C8" i="17" s="1"/>
  <c r="K20" i="10"/>
  <c r="L20" i="10"/>
  <c r="L7" i="10" s="1"/>
  <c r="M20" i="10"/>
  <c r="M7" i="10" s="1"/>
  <c r="J13" i="10"/>
  <c r="R19" i="10" s="1"/>
  <c r="R20" i="10" s="1"/>
  <c r="H13" i="2" s="1"/>
  <c r="J15" i="10"/>
  <c r="R9" i="10"/>
  <c r="M13" i="10" l="1"/>
  <c r="M15" i="10"/>
  <c r="M16" i="10" s="1"/>
  <c r="R11" i="10"/>
  <c r="R10" i="10"/>
  <c r="H23" i="2" s="1"/>
  <c r="S9" i="10"/>
  <c r="J20" i="10"/>
  <c r="K7" i="10" s="1"/>
  <c r="L15" i="10"/>
  <c r="L16" i="10" s="1"/>
  <c r="L13" i="10"/>
  <c r="K13" i="10" l="1"/>
  <c r="K15" i="10"/>
  <c r="K16" i="10" s="1"/>
  <c r="M17" i="10"/>
  <c r="T7" i="10"/>
  <c r="T6" i="10"/>
  <c r="L17" i="10"/>
  <c r="T9" i="10"/>
  <c r="S10" i="10"/>
  <c r="H24" i="2" s="1"/>
  <c r="S11" i="10"/>
  <c r="C21" i="2" l="1"/>
  <c r="I24" i="2"/>
  <c r="J16" i="10"/>
  <c r="K17" i="10"/>
  <c r="T5" i="10"/>
  <c r="J17" i="10" l="1"/>
  <c r="T8"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tsutsui</author>
    <author>CG7</author>
  </authors>
  <commentList>
    <comment ref="E13" authorId="0" shapeId="0" xr:uid="{00000000-0006-0000-0000-000001000000}">
      <text>
        <r>
          <rPr>
            <b/>
            <sz val="10"/>
            <color indexed="81"/>
            <rFont val="ＭＳ Ｐゴシック"/>
            <family val="3"/>
            <charset val="128"/>
          </rPr>
          <t>(導管投資が無いケース)
導管の種類 = 0
供給地点数は導管が無くても、該当入力欄へ
供給地点数のみ入力
(年目、年次区分は空欄)</t>
        </r>
        <r>
          <rPr>
            <b/>
            <sz val="9"/>
            <color indexed="81"/>
            <rFont val="ＭＳ Ｐゴシック"/>
            <family val="3"/>
            <charset val="128"/>
          </rPr>
          <t xml:space="preserve">
</t>
        </r>
      </text>
    </comment>
    <comment ref="C23" authorId="1" shapeId="0" xr:uid="{00000000-0006-0000-0000-000002000000}">
      <text>
        <r>
          <rPr>
            <sz val="9"/>
            <color indexed="81"/>
            <rFont val="ＭＳ Ｐゴシック"/>
            <family val="3"/>
            <charset val="128"/>
          </rPr>
          <t xml:space="preserve">原価算定期間における事業者の支払う法人税率が異なる場合、適宜修正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STF2</author>
  </authors>
  <commentList>
    <comment ref="B18" authorId="0" shapeId="0" xr:uid="{00000000-0006-0000-0200-000001000000}">
      <text>
        <r>
          <rPr>
            <sz val="12"/>
            <color indexed="81"/>
            <rFont val="ＭＳ Ｐゴシック"/>
            <family val="3"/>
            <charset val="128"/>
          </rPr>
          <t>各選択約款の対象需要家の平均メーター能力（㎥/H）</t>
        </r>
      </text>
    </comment>
    <comment ref="H18" authorId="0" shapeId="0" xr:uid="{00000000-0006-0000-0200-000002000000}">
      <text>
        <r>
          <rPr>
            <sz val="12"/>
            <color indexed="81"/>
            <rFont val="ＭＳ Ｐゴシック"/>
            <family val="3"/>
            <charset val="128"/>
          </rPr>
          <t>各需要家のメーター能力（㎥/H）</t>
        </r>
      </text>
    </comment>
    <comment ref="B20" authorId="0" shapeId="0" xr:uid="{00000000-0006-0000-0200-000003000000}">
      <text>
        <r>
          <rPr>
            <sz val="12"/>
            <color indexed="81"/>
            <rFont val="ＭＳ Ｐゴシック"/>
            <family val="3"/>
            <charset val="128"/>
          </rPr>
          <t>各選択約款の割引料金を適用する月数</t>
        </r>
        <r>
          <rPr>
            <sz val="9"/>
            <color indexed="81"/>
            <rFont val="ＭＳ Ｐゴシック"/>
            <family val="3"/>
            <charset val="128"/>
          </rPr>
          <t xml:space="preserve">
</t>
        </r>
      </text>
    </comment>
    <comment ref="B40" authorId="0" shapeId="0" xr:uid="{00000000-0006-0000-0200-000004000000}">
      <text>
        <r>
          <rPr>
            <sz val="12"/>
            <color indexed="81"/>
            <rFont val="ＭＳ Ｐゴシック"/>
            <family val="3"/>
            <charset val="128"/>
          </rPr>
          <t>各用途別の需要家の平均メーター能力（㎥/H）</t>
        </r>
      </text>
    </comment>
    <comment ref="B42" authorId="0" shapeId="0" xr:uid="{00000000-0006-0000-0200-000005000000}">
      <text>
        <r>
          <rPr>
            <sz val="12"/>
            <color indexed="81"/>
            <rFont val="ＭＳ Ｐゴシック"/>
            <family val="3"/>
            <charset val="128"/>
          </rPr>
          <t>各用途別の申請時点で想定した需要家数（単月値）</t>
        </r>
      </text>
    </comment>
    <comment ref="B43" authorId="0" shapeId="0" xr:uid="{00000000-0006-0000-0200-000006000000}">
      <text>
        <r>
          <rPr>
            <sz val="12"/>
            <color indexed="81"/>
            <rFont val="ＭＳ Ｐゴシック"/>
            <family val="3"/>
            <charset val="128"/>
          </rPr>
          <t>各用途の需要家数を１２か月分合計した数値</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STF2</author>
  </authors>
  <commentList>
    <comment ref="A18" authorId="0" shapeId="0" xr:uid="{00000000-0006-0000-0500-000001000000}">
      <text>
        <r>
          <rPr>
            <sz val="12"/>
            <color indexed="81"/>
            <rFont val="ＭＳ Ｐゴシック"/>
            <family val="3"/>
            <charset val="128"/>
          </rPr>
          <t>供給約款＋選択約款</t>
        </r>
      </text>
    </comment>
    <comment ref="D52" authorId="0" shapeId="0" xr:uid="{00000000-0006-0000-0500-000002000000}">
      <text>
        <r>
          <rPr>
            <sz val="12"/>
            <color indexed="81"/>
            <rFont val="ＭＳ Ｐゴシック"/>
            <family val="3"/>
            <charset val="128"/>
          </rPr>
          <t>変更前選択約款基本料金</t>
        </r>
        <r>
          <rPr>
            <sz val="9"/>
            <color indexed="81"/>
            <rFont val="ＭＳ Ｐゴシック"/>
            <family val="3"/>
            <charset val="128"/>
          </rPr>
          <t xml:space="preserve">
</t>
        </r>
      </text>
    </comment>
    <comment ref="F52" authorId="0" shapeId="0" xr:uid="{00000000-0006-0000-0500-000003000000}">
      <text>
        <r>
          <rPr>
            <sz val="12"/>
            <color indexed="81"/>
            <rFont val="ＭＳ Ｐゴシック"/>
            <family val="3"/>
            <charset val="128"/>
          </rPr>
          <t xml:space="preserve">原資算定期間（需要想定）における割引料金適用月の延調定件数
</t>
        </r>
      </text>
    </comment>
    <comment ref="D59" authorId="0" shapeId="0" xr:uid="{00000000-0006-0000-0500-000004000000}">
      <text>
        <r>
          <rPr>
            <sz val="12"/>
            <color indexed="81"/>
            <rFont val="ＭＳ Ｐゴシック"/>
            <family val="3"/>
            <charset val="128"/>
          </rPr>
          <t>変更前選択約款調整単位料金</t>
        </r>
        <r>
          <rPr>
            <sz val="9"/>
            <color indexed="81"/>
            <rFont val="ＭＳ Ｐゴシック"/>
            <family val="3"/>
            <charset val="128"/>
          </rPr>
          <t xml:space="preserve">
</t>
        </r>
        <r>
          <rPr>
            <sz val="12"/>
            <color indexed="81"/>
            <rFont val="ＭＳ Ｐゴシック"/>
            <family val="3"/>
            <charset val="128"/>
          </rPr>
          <t>（基準単位料金＋調整単位料金）</t>
        </r>
      </text>
    </comment>
    <comment ref="F59" authorId="0" shapeId="0" xr:uid="{00000000-0006-0000-0500-000005000000}">
      <text>
        <r>
          <rPr>
            <sz val="12"/>
            <color indexed="81"/>
            <rFont val="ＭＳ Ｐゴシック"/>
            <family val="3"/>
            <charset val="128"/>
          </rPr>
          <t xml:space="preserve">原資算定期間（需要想定）における割引料金適用月の販売量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STF2</author>
  </authors>
  <commentList>
    <comment ref="F11" authorId="0" shapeId="0" xr:uid="{00000000-0006-0000-0700-000001000000}">
      <text>
        <r>
          <rPr>
            <sz val="10"/>
            <color indexed="81"/>
            <rFont val="ＭＳ Ｐゴシック"/>
            <family val="3"/>
            <charset val="128"/>
          </rPr>
          <t>2ヶ所目は直接入力し、"説明書!Ｂ33"に（所要面積×㎡当たりの評価額）の合計額を変更入力</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STF2</author>
  </authors>
  <commentList>
    <comment ref="A4" authorId="0" shapeId="0" xr:uid="{00000000-0006-0000-0B00-000001000000}">
      <text>
        <r>
          <rPr>
            <sz val="12"/>
            <color indexed="81"/>
            <rFont val="ＭＳ Ｐゴシック"/>
            <family val="3"/>
            <charset val="128"/>
          </rPr>
          <t>購入実績の開始月を入力</t>
        </r>
        <r>
          <rPr>
            <b/>
            <sz val="9"/>
            <color indexed="81"/>
            <rFont val="ＭＳ Ｐゴシック"/>
            <family val="3"/>
            <charset val="128"/>
          </rPr>
          <t xml:space="preserve">
</t>
        </r>
        <r>
          <rPr>
            <sz val="9"/>
            <color indexed="81"/>
            <rFont val="ＭＳ Ｐゴシック"/>
            <family val="3"/>
            <charset val="128"/>
          </rPr>
          <t xml:space="preserve">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STF2</author>
  </authors>
  <commentList>
    <comment ref="J4" authorId="0" shapeId="0" xr:uid="{00000000-0006-0000-1600-000001000000}">
      <text>
        <r>
          <rPr>
            <sz val="12"/>
            <color indexed="81"/>
            <rFont val="ＭＳ Ｐゴシック"/>
            <family val="3"/>
            <charset val="128"/>
          </rPr>
          <t xml:space="preserve">消費税を含む額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STF2</author>
  </authors>
  <commentList>
    <comment ref="C39" authorId="0" shapeId="0" xr:uid="{00000000-0006-0000-1700-000001000000}">
      <text>
        <r>
          <rPr>
            <sz val="12"/>
            <color indexed="81"/>
            <rFont val="ＭＳ Ｐゴシック"/>
            <family val="3"/>
            <charset val="128"/>
          </rPr>
          <t>ブロック料金の基本料金に対する掛率を入力</t>
        </r>
        <r>
          <rPr>
            <sz val="9"/>
            <color indexed="81"/>
            <rFont val="ＭＳ Ｐゴシック"/>
            <family val="3"/>
            <charset val="128"/>
          </rPr>
          <t xml:space="preserve">
</t>
        </r>
      </text>
    </comment>
    <comment ref="C40" authorId="0" shapeId="0" xr:uid="{00000000-0006-0000-1700-000002000000}">
      <text>
        <r>
          <rPr>
            <sz val="12"/>
            <color indexed="81"/>
            <rFont val="ＭＳ Ｐゴシック"/>
            <family val="3"/>
            <charset val="128"/>
          </rPr>
          <t>ブロック料金の単位料金に対する掛率を入力</t>
        </r>
      </text>
    </comment>
    <comment ref="C41" authorId="0" shapeId="0" xr:uid="{00000000-0006-0000-1700-000003000000}">
      <text>
        <r>
          <rPr>
            <sz val="12"/>
            <color indexed="81"/>
            <rFont val="ＭＳ Ｐゴシック"/>
            <family val="3"/>
            <charset val="128"/>
          </rPr>
          <t>Ａ群の基本料金に対する掛率を入力</t>
        </r>
      </text>
    </comment>
  </commentList>
</comments>
</file>

<file path=xl/sharedStrings.xml><?xml version="1.0" encoding="utf-8"?>
<sst xmlns="http://schemas.openxmlformats.org/spreadsheetml/2006/main" count="2088" uniqueCount="1243">
  <si>
    <t>税率</t>
    <rPh sb="0" eb="2">
      <t>ゼイリツ</t>
    </rPh>
    <phoneticPr fontId="2"/>
  </si>
  <si>
    <t>％</t>
    <phoneticPr fontId="2"/>
  </si>
  <si>
    <t>　基本料金（税込）</t>
    <rPh sb="6" eb="8">
      <t>ゼイコ</t>
    </rPh>
    <phoneticPr fontId="2"/>
  </si>
  <si>
    <t>桁（小数点以下処理桁数）</t>
    <rPh sb="0" eb="1">
      <t>ケタ</t>
    </rPh>
    <rPh sb="2" eb="5">
      <t>ショウスウテン</t>
    </rPh>
    <rPh sb="5" eb="7">
      <t>イカ</t>
    </rPh>
    <rPh sb="7" eb="9">
      <t>ショリ</t>
    </rPh>
    <rPh sb="9" eb="10">
      <t>ケタ</t>
    </rPh>
    <rPh sb="10" eb="11">
      <t>スウ</t>
    </rPh>
    <phoneticPr fontId="2"/>
  </si>
  <si>
    <t>　基準単位料金（税込）</t>
    <rPh sb="8" eb="9">
      <t>ゼイ</t>
    </rPh>
    <rPh sb="9" eb="10">
      <t>コ</t>
    </rPh>
    <phoneticPr fontId="2"/>
  </si>
  <si>
    <t>※下に変更理由書あり</t>
    <rPh sb="1" eb="2">
      <t>シタ</t>
    </rPh>
    <rPh sb="3" eb="5">
      <t>ヘンコウ</t>
    </rPh>
    <rPh sb="5" eb="8">
      <t>リユウショ</t>
    </rPh>
    <phoneticPr fontId="22"/>
  </si>
  <si>
    <t>　　製造:1/供給:2/需要家:0</t>
    <phoneticPr fontId="2"/>
  </si>
  <si>
    <t>････料金改定時のみ</t>
    <rPh sb="4" eb="6">
      <t>リョウキン</t>
    </rPh>
    <rPh sb="6" eb="8">
      <t>カイテイ</t>
    </rPh>
    <rPh sb="8" eb="9">
      <t>トキ</t>
    </rPh>
    <phoneticPr fontId="2"/>
  </si>
  <si>
    <t>バルク用</t>
    <rPh sb="3" eb="4">
      <t>ヨウ</t>
    </rPh>
    <phoneticPr fontId="2"/>
  </si>
  <si>
    <t>新</t>
    <rPh sb="0" eb="1">
      <t>シン</t>
    </rPh>
    <phoneticPr fontId="77"/>
  </si>
  <si>
    <t>旧</t>
    <rPh sb="0" eb="1">
      <t>キュウ</t>
    </rPh>
    <phoneticPr fontId="77"/>
  </si>
  <si>
    <t>車両償却率</t>
    <rPh sb="0" eb="2">
      <t>シャリョウ</t>
    </rPh>
    <rPh sb="2" eb="5">
      <t>ショウキャクリツ</t>
    </rPh>
    <phoneticPr fontId="2"/>
  </si>
  <si>
    <t>その他経費</t>
    <rPh sb="2" eb="3">
      <t>タ</t>
    </rPh>
    <rPh sb="3" eb="5">
      <t>ケイヒ</t>
    </rPh>
    <phoneticPr fontId="2"/>
  </si>
  <si>
    <r>
      <t>通知１４  軽減係数</t>
    </r>
    <r>
      <rPr>
        <sz val="12"/>
        <rFont val="ＭＳ ゴシック"/>
        <family val="3"/>
        <charset val="128"/>
      </rPr>
      <t>（租税課金）</t>
    </r>
    <rPh sb="0" eb="2">
      <t>ツウチ</t>
    </rPh>
    <rPh sb="11" eb="13">
      <t>ソゼイ</t>
    </rPh>
    <rPh sb="13" eb="15">
      <t>カキン</t>
    </rPh>
    <phoneticPr fontId="2"/>
  </si>
  <si>
    <t>H20</t>
    <phoneticPr fontId="22"/>
  </si>
  <si>
    <t>H21</t>
    <phoneticPr fontId="22"/>
  </si>
  <si>
    <t>　　　H19</t>
    <phoneticPr fontId="22"/>
  </si>
  <si>
    <t>50kgボンベ</t>
    <phoneticPr fontId="2"/>
  </si>
  <si>
    <t>バルク貯槽</t>
    <rPh sb="3" eb="5">
      <t>チョソウ</t>
    </rPh>
    <phoneticPr fontId="2"/>
  </si>
  <si>
    <t>率</t>
    <phoneticPr fontId="2"/>
  </si>
  <si>
    <t>(建物は含まず)</t>
    <phoneticPr fontId="2"/>
  </si>
  <si>
    <t>修繕比率</t>
    <rPh sb="0" eb="2">
      <t>シュウゼン</t>
    </rPh>
    <rPh sb="2" eb="4">
      <t>ヒリツ</t>
    </rPh>
    <phoneticPr fontId="2"/>
  </si>
  <si>
    <t>負荷調整(有:0 無:1)</t>
    <phoneticPr fontId="2"/>
  </si>
  <si>
    <t>IF(基本入力!C29=1,SUM(基本入力!C$13:C$16)+SUM(基本入力!C$52:C$53),IF(基本入力!G29&gt;0,基本入力!G29+基本入力!J29+基本入力!M29+基本入力!P29+基本入力!S29+基本入力!V29+基本入力!Y29+基本入力!AB29,0))</t>
  </si>
  <si>
    <t>昭和49年 　9月20日～ 昭和50年 　10月19日</t>
    <phoneticPr fontId="2"/>
  </si>
  <si>
    <t>IF(AND(基本入力!C28=1,AVERAGE(基本入力!E39,基本入力!I39,基本入力!L39,基本入力!O39,基本入力!R39,基本入力!U39,基本入力!X39,基本入力!AA39,基本入力!AD39)=0),SUM(基本入力!C$13:C$16)+SUM(基本入力!C52:C53),IF(AND(基本入力!C28=1,AVERAGE(基本入力!E39,基本入力!I39,基本入力!L39,基本入力!O39,基本入力!R39,基本入力!U39,基本入力!X39,基本入力!AA39,基本入力!AD39)&gt;0),SUM(基本入力!C13:C16)+SUM(基本入力!C52:C53)-SUM(SUM(基本入力!G13:G16),SUM(基本入力!J13:J16),SUM(基本入力!M13:M16),SUM(基本入力!P13:P16),SUM(基本入力!S13:S16),SUM(基本入力!V13:V16),SUM(基本入力!Y13:Y16),SUM(基本入力!AB13:AB16))+SUM(基本入力!G28,基本入力!J28,基本入力!M28,基本入力!P28,基本入力!S28,基本入力!V28,基本入力!Y28,基本入力!AA28),IF(基本入力!G28&gt;0,基本入力!G28+基本入力!J28+基本入力!M28+基本入力!P28,0)))</t>
    <phoneticPr fontId="22"/>
  </si>
  <si>
    <t>※投資がある場合、全て左詰め入力（地点数はC13～C16の内数）</t>
    <rPh sb="1" eb="3">
      <t>トウシ</t>
    </rPh>
    <rPh sb="6" eb="8">
      <t>バアイ</t>
    </rPh>
    <rPh sb="9" eb="10">
      <t>スベ</t>
    </rPh>
    <rPh sb="11" eb="13">
      <t>ヒダリヅ</t>
    </rPh>
    <rPh sb="14" eb="16">
      <t>ニュウリョク</t>
    </rPh>
    <rPh sb="17" eb="19">
      <t>チテン</t>
    </rPh>
    <rPh sb="19" eb="20">
      <t>スウ</t>
    </rPh>
    <rPh sb="29" eb="30">
      <t>ウチ</t>
    </rPh>
    <rPh sb="30" eb="31">
      <t>スウ</t>
    </rPh>
    <phoneticPr fontId="2"/>
  </si>
  <si>
    <t>IF(K22=0,J22,IF(AND(基本入力!C28=0,L22=0),K22,"   （個別）"))</t>
  </si>
  <si>
    <t>ROUNDDOWN(IF(K22=0,E22*F22,SUM(T22:AB22)),0)</t>
  </si>
  <si>
    <t>【既設導管】</t>
    <rPh sb="1" eb="3">
      <t>キセツ</t>
    </rPh>
    <rPh sb="3" eb="5">
      <t>ドウカン</t>
    </rPh>
    <phoneticPr fontId="2"/>
  </si>
  <si>
    <t>【取替導管】</t>
    <rPh sb="1" eb="3">
      <t>トリカ</t>
    </rPh>
    <rPh sb="3" eb="5">
      <t>ドウカン</t>
    </rPh>
    <phoneticPr fontId="2"/>
  </si>
  <si>
    <t>【集合装置】</t>
    <rPh sb="1" eb="3">
      <t>シュウゴウ</t>
    </rPh>
    <rPh sb="3" eb="5">
      <t>ソウチ</t>
    </rPh>
    <phoneticPr fontId="2"/>
  </si>
  <si>
    <t>【取替】</t>
    <rPh sb="1" eb="3">
      <t>トリカ</t>
    </rPh>
    <phoneticPr fontId="2"/>
  </si>
  <si>
    <t>年間ガス販売量("販売量ﾃﾞｰﾀ"に入力)1</t>
    <phoneticPr fontId="2"/>
  </si>
  <si>
    <t>年間ガス販売量(供給約款のみの場合)2</t>
    <rPh sb="8" eb="10">
      <t>キョウキュウ</t>
    </rPh>
    <rPh sb="10" eb="12">
      <t>ヤッカン</t>
    </rPh>
    <rPh sb="15" eb="17">
      <t>バアイ</t>
    </rPh>
    <phoneticPr fontId="2"/>
  </si>
  <si>
    <r>
      <t>※導管取替の場合</t>
    </r>
    <r>
      <rPr>
        <sz val="12"/>
        <color indexed="10"/>
        <rFont val="ＭＳ ゴシック"/>
        <family val="3"/>
        <charset val="128"/>
      </rPr>
      <t>（投資がある場合入力し、C13～C16で対象取替戸数を減）</t>
    </r>
    <rPh sb="1" eb="3">
      <t>ドウカン</t>
    </rPh>
    <rPh sb="3" eb="5">
      <t>トリカエ</t>
    </rPh>
    <rPh sb="6" eb="8">
      <t>バアイ</t>
    </rPh>
    <rPh sb="9" eb="11">
      <t>トウシ</t>
    </rPh>
    <rPh sb="14" eb="16">
      <t>バアイ</t>
    </rPh>
    <rPh sb="16" eb="18">
      <t>ニュウリョク</t>
    </rPh>
    <rPh sb="28" eb="30">
      <t>タイショウ</t>
    </rPh>
    <rPh sb="30" eb="32">
      <t>トリカ</t>
    </rPh>
    <rPh sb="32" eb="34">
      <t>コスウ</t>
    </rPh>
    <rPh sb="35" eb="36">
      <t>ゲン</t>
    </rPh>
    <phoneticPr fontId="2"/>
  </si>
  <si>
    <t>法定耐用年数に応じた償却率</t>
    <rPh sb="0" eb="2">
      <t>ホウテイ</t>
    </rPh>
    <rPh sb="2" eb="4">
      <t>タイヨウ</t>
    </rPh>
    <rPh sb="4" eb="6">
      <t>ネンスウ</t>
    </rPh>
    <rPh sb="7" eb="8">
      <t>オウ</t>
    </rPh>
    <rPh sb="10" eb="13">
      <t>ショウキャクリツ</t>
    </rPh>
    <phoneticPr fontId="2"/>
  </si>
  <si>
    <t>（  ）内はバルク供給方式</t>
    <rPh sb="4" eb="5">
      <t>ナイ</t>
    </rPh>
    <rPh sb="9" eb="11">
      <t>キョウキュウ</t>
    </rPh>
    <rPh sb="11" eb="13">
      <t>ホウシキ</t>
    </rPh>
    <phoneticPr fontId="22"/>
  </si>
  <si>
    <t>固定資産税(ﾎﾞﾝﾍﾞ供給)</t>
    <rPh sb="0" eb="2">
      <t>コテイ</t>
    </rPh>
    <rPh sb="2" eb="5">
      <t>シサンゼイ</t>
    </rPh>
    <rPh sb="11" eb="13">
      <t>キョウキュウ</t>
    </rPh>
    <phoneticPr fontId="2"/>
  </si>
  <si>
    <t>固定資産税(ﾊﾞﾙｸ供給）</t>
    <rPh sb="0" eb="2">
      <t>コテイ</t>
    </rPh>
    <rPh sb="2" eb="5">
      <t>シサンゼイ</t>
    </rPh>
    <rPh sb="10" eb="12">
      <t>キョウキュウ</t>
    </rPh>
    <phoneticPr fontId="2"/>
  </si>
  <si>
    <t>↓課税事業者のみ</t>
    <rPh sb="1" eb="3">
      <t>カゼイ</t>
    </rPh>
    <rPh sb="3" eb="6">
      <t>ジギョウシャ</t>
    </rPh>
    <phoneticPr fontId="2"/>
  </si>
  <si>
    <t>山梨</t>
    <phoneticPr fontId="2"/>
  </si>
  <si>
    <t>静岡</t>
    <phoneticPr fontId="2"/>
  </si>
  <si>
    <t>8~18</t>
    <phoneticPr fontId="2"/>
  </si>
  <si>
    <t>最低使用量料金［変更前］×原価（原資）算定期間中の延調定件数</t>
    <rPh sb="0" eb="2">
      <t>サイテイ</t>
    </rPh>
    <rPh sb="2" eb="5">
      <t>シヨウリョウ</t>
    </rPh>
    <rPh sb="5" eb="7">
      <t>リョウキン</t>
    </rPh>
    <rPh sb="8" eb="10">
      <t>ヘンコウ</t>
    </rPh>
    <rPh sb="10" eb="11">
      <t>マエ</t>
    </rPh>
    <rPh sb="13" eb="15">
      <t>ゲンカ</t>
    </rPh>
    <rPh sb="16" eb="18">
      <t>ゲンシ</t>
    </rPh>
    <rPh sb="19" eb="21">
      <t>サンテイ</t>
    </rPh>
    <rPh sb="21" eb="23">
      <t>キカン</t>
    </rPh>
    <rPh sb="23" eb="24">
      <t>チュウ</t>
    </rPh>
    <rPh sb="25" eb="26">
      <t>ノ</t>
    </rPh>
    <rPh sb="26" eb="27">
      <t>チョウ</t>
    </rPh>
    <rPh sb="27" eb="28">
      <t>サダム</t>
    </rPh>
    <rPh sb="28" eb="30">
      <t>ケンスウ</t>
    </rPh>
    <phoneticPr fontId="77"/>
  </si>
  <si>
    <t>使用量区画別料金の場合</t>
    <phoneticPr fontId="77"/>
  </si>
  <si>
    <t>供給約款変更前料金収入</t>
    <rPh sb="0" eb="2">
      <t>キョウキュウ</t>
    </rPh>
    <rPh sb="2" eb="4">
      <t>ヤッカン</t>
    </rPh>
    <rPh sb="4" eb="6">
      <t>ヘンコウ</t>
    </rPh>
    <rPh sb="6" eb="7">
      <t>マエ</t>
    </rPh>
    <rPh sb="7" eb="9">
      <t>リョウキン</t>
    </rPh>
    <rPh sb="9" eb="11">
      <t>シュウニュウ</t>
    </rPh>
    <phoneticPr fontId="22"/>
  </si>
  <si>
    <t>－最低使用量×延調定件数</t>
    <phoneticPr fontId="22"/>
  </si>
  <si>
    <t>＋区画別使用量料金単価［変更前］×原価（原資）算定期間中のガス販売量</t>
    <rPh sb="1" eb="3">
      <t>クカク</t>
    </rPh>
    <rPh sb="3" eb="4">
      <t>ベツ</t>
    </rPh>
    <rPh sb="4" eb="7">
      <t>シヨウリョウ</t>
    </rPh>
    <rPh sb="7" eb="9">
      <t>リョウキン</t>
    </rPh>
    <rPh sb="9" eb="11">
      <t>タンカ</t>
    </rPh>
    <rPh sb="12" eb="14">
      <t>ヘンコウ</t>
    </rPh>
    <rPh sb="14" eb="15">
      <t>マエ</t>
    </rPh>
    <phoneticPr fontId="77"/>
  </si>
  <si>
    <t>＋従量料金単価［変更前］×原価（原資）算定期間中のガス販売量</t>
    <rPh sb="1" eb="3">
      <t>ジュウリョウ</t>
    </rPh>
    <rPh sb="3" eb="5">
      <t>リョウキン</t>
    </rPh>
    <rPh sb="5" eb="7">
      <t>タンカ</t>
    </rPh>
    <rPh sb="8" eb="10">
      <t>ヘンコウ</t>
    </rPh>
    <rPh sb="10" eb="11">
      <t>マエ</t>
    </rPh>
    <rPh sb="27" eb="29">
      <t>ハンバイ</t>
    </rPh>
    <rPh sb="29" eb="30">
      <t>リョウ</t>
    </rPh>
    <phoneticPr fontId="77"/>
  </si>
  <si>
    <t>↑２段階料金（Ａ・Ｂ群のみの料金）の場合は第３段階の構成率を”0”にし、第２段階へプラスする。</t>
    <rPh sb="2" eb="4">
      <t>ダンカイ</t>
    </rPh>
    <rPh sb="4" eb="6">
      <t>リョウキン</t>
    </rPh>
    <rPh sb="10" eb="11">
      <t>グン</t>
    </rPh>
    <rPh sb="14" eb="16">
      <t>リョウキン</t>
    </rPh>
    <rPh sb="18" eb="20">
      <t>バアイ</t>
    </rPh>
    <rPh sb="21" eb="22">
      <t>ダイ</t>
    </rPh>
    <rPh sb="23" eb="25">
      <t>ダンカイ</t>
    </rPh>
    <rPh sb="26" eb="29">
      <t>コウセイリツ</t>
    </rPh>
    <rPh sb="36" eb="37">
      <t>ダイ</t>
    </rPh>
    <rPh sb="38" eb="40">
      <t>ダンカイ</t>
    </rPh>
    <phoneticPr fontId="2"/>
  </si>
  <si>
    <t>※詳細シート”参考料金”より</t>
    <rPh sb="1" eb="3">
      <t>ショウサイ</t>
    </rPh>
    <rPh sb="7" eb="9">
      <t>サンコウ</t>
    </rPh>
    <rPh sb="9" eb="11">
      <t>リョウキン</t>
    </rPh>
    <phoneticPr fontId="2"/>
  </si>
  <si>
    <t>↓都県ｺｰﾄﾞ:会社所在地</t>
    <rPh sb="1" eb="3">
      <t>トケン</t>
    </rPh>
    <rPh sb="8" eb="10">
      <t>カイシャ</t>
    </rPh>
    <rPh sb="10" eb="13">
      <t>ショザイチ</t>
    </rPh>
    <phoneticPr fontId="2"/>
  </si>
  <si>
    <t>代表者役職</t>
    <rPh sb="0" eb="3">
      <t>ダイヒョウシャ</t>
    </rPh>
    <rPh sb="3" eb="5">
      <t>ヤクショク</t>
    </rPh>
    <phoneticPr fontId="2"/>
  </si>
  <si>
    <t>地点群名</t>
    <rPh sb="0" eb="2">
      <t>チテン</t>
    </rPh>
    <rPh sb="2" eb="3">
      <t>グン</t>
    </rPh>
    <phoneticPr fontId="2"/>
  </si>
  <si>
    <r>
      <t xml:space="preserve">※         入力項目           </t>
    </r>
    <r>
      <rPr>
        <sz val="12"/>
        <rFont val="ＭＳ ゴシック"/>
        <family val="3"/>
        <charset val="128"/>
      </rPr>
      <t>会社名</t>
    </r>
    <rPh sb="10" eb="12">
      <t>ニュウリョク</t>
    </rPh>
    <rPh sb="12" eb="14">
      <t>コウモク</t>
    </rPh>
    <rPh sb="25" eb="28">
      <t>カイシャメイ</t>
    </rPh>
    <phoneticPr fontId="2"/>
  </si>
  <si>
    <t>代表者氏名</t>
    <rPh sb="0" eb="3">
      <t>ダイヒョウシャ</t>
    </rPh>
    <rPh sb="3" eb="5">
      <t>シメイ</t>
    </rPh>
    <phoneticPr fontId="2"/>
  </si>
  <si>
    <t>地点群所在地</t>
    <rPh sb="0" eb="2">
      <t>チテン</t>
    </rPh>
    <rPh sb="2" eb="3">
      <t>グン</t>
    </rPh>
    <rPh sb="3" eb="6">
      <t>ショザイチ</t>
    </rPh>
    <phoneticPr fontId="2"/>
  </si>
  <si>
    <t>････入力例：2006/6/1</t>
    <rPh sb="4" eb="6">
      <t>ニュウリョク</t>
    </rPh>
    <rPh sb="6" eb="7">
      <t>レイ</t>
    </rPh>
    <phoneticPr fontId="2"/>
  </si>
  <si>
    <t>投資の有無</t>
    <rPh sb="0" eb="2">
      <t>トウシ</t>
    </rPh>
    <rPh sb="3" eb="5">
      <t>ウム</t>
    </rPh>
    <phoneticPr fontId="2"/>
  </si>
  <si>
    <t>年目</t>
    <phoneticPr fontId="2"/>
  </si>
  <si>
    <t>調整
単位
料金</t>
    <rPh sb="0" eb="2">
      <t>チョウセイ</t>
    </rPh>
    <rPh sb="3" eb="5">
      <t>タンイ</t>
    </rPh>
    <rPh sb="6" eb="8">
      <t>リョウキン</t>
    </rPh>
    <phoneticPr fontId="77"/>
  </si>
  <si>
    <t>※調整単位料金＝基準単位料金＋原料費調整額</t>
    <rPh sb="1" eb="3">
      <t>チョウセイ</t>
    </rPh>
    <rPh sb="3" eb="5">
      <t>タンイ</t>
    </rPh>
    <rPh sb="5" eb="7">
      <t>リョウキン</t>
    </rPh>
    <rPh sb="8" eb="10">
      <t>キジュン</t>
    </rPh>
    <rPh sb="10" eb="12">
      <t>タンイ</t>
    </rPh>
    <rPh sb="12" eb="14">
      <t>リョウキン</t>
    </rPh>
    <rPh sb="15" eb="17">
      <t>ゲンリョウ</t>
    </rPh>
    <rPh sb="17" eb="18">
      <t>ヒ</t>
    </rPh>
    <rPh sb="18" eb="20">
      <t>チョウセイ</t>
    </rPh>
    <rPh sb="20" eb="21">
      <t>ガク</t>
    </rPh>
    <phoneticPr fontId="2"/>
  </si>
  <si>
    <t>Ｃ群</t>
    <phoneticPr fontId="22"/>
  </si>
  <si>
    <t>Ｄ群</t>
    <phoneticPr fontId="22"/>
  </si>
  <si>
    <t>Ｅ群</t>
    <phoneticPr fontId="22"/>
  </si>
  <si>
    <t>Ｆ群</t>
    <phoneticPr fontId="22"/>
  </si>
  <si>
    <t>金額</t>
    <rPh sb="0" eb="2">
      <t>キンガク</t>
    </rPh>
    <phoneticPr fontId="22"/>
  </si>
  <si>
    <t>年間延調定数</t>
    <rPh sb="0" eb="2">
      <t>ネンカン</t>
    </rPh>
    <rPh sb="2" eb="3">
      <t>ノ</t>
    </rPh>
    <rPh sb="3" eb="4">
      <t>チョウ</t>
    </rPh>
    <rPh sb="4" eb="6">
      <t>テイスウ</t>
    </rPh>
    <phoneticPr fontId="22"/>
  </si>
  <si>
    <t>年間販売量</t>
    <rPh sb="0" eb="2">
      <t>ネンカン</t>
    </rPh>
    <rPh sb="2" eb="4">
      <t>ハンバイ</t>
    </rPh>
    <rPh sb="4" eb="5">
      <t>リョウ</t>
    </rPh>
    <phoneticPr fontId="22"/>
  </si>
  <si>
    <t>個 　別　 原　 価　 項　 目</t>
  </si>
  <si>
    <t>想定料金収入
（円）</t>
    <rPh sb="0" eb="2">
      <t>ソウテイ</t>
    </rPh>
    <rPh sb="2" eb="4">
      <t>リョウキン</t>
    </rPh>
    <rPh sb="4" eb="6">
      <t>シュウニュウ</t>
    </rPh>
    <phoneticPr fontId="22"/>
  </si>
  <si>
    <t>基準単位料金</t>
    <rPh sb="0" eb="2">
      <t>キジュン</t>
    </rPh>
    <rPh sb="2" eb="4">
      <t>タンイ</t>
    </rPh>
    <phoneticPr fontId="2"/>
  </si>
  <si>
    <t>総 原 価 整 理 表</t>
    <rPh sb="0" eb="1">
      <t>ソウ</t>
    </rPh>
    <rPh sb="2" eb="3">
      <t>ハラ</t>
    </rPh>
    <rPh sb="4" eb="5">
      <t>アタイ</t>
    </rPh>
    <rPh sb="6" eb="7">
      <t>タダシ</t>
    </rPh>
    <rPh sb="8" eb="9">
      <t>リ</t>
    </rPh>
    <rPh sb="10" eb="11">
      <t>ヒョウ</t>
    </rPh>
    <phoneticPr fontId="2"/>
  </si>
  <si>
    <t>１  ㎥  当  た  り  単  価</t>
    <rPh sb="6" eb="7">
      <t>ア</t>
    </rPh>
    <rPh sb="15" eb="16">
      <t>タン</t>
    </rPh>
    <rPh sb="18" eb="19">
      <t>アタイ</t>
    </rPh>
    <phoneticPr fontId="2"/>
  </si>
  <si>
    <t>年次区分(区分外は０)</t>
  </si>
  <si>
    <t>「原価計算に入る前の条件入力」</t>
  </si>
  <si>
    <t>　S48.6.30以前         = 1</t>
  </si>
  <si>
    <t>条件項目</t>
  </si>
  <si>
    <t>入力覧</t>
  </si>
  <si>
    <t>　S48.7.1～S49.9.19    = 2</t>
  </si>
  <si>
    <t>↓係数販売量を適用？Y/N</t>
  </si>
  <si>
    <t>　S49.9.20～S50.10.19  = 3</t>
  </si>
  <si>
    <t>　S50.10.20～S52.1.9   = 4</t>
  </si>
  <si>
    <t>　S52.1.10～S52.12.31  = 5</t>
  </si>
  <si>
    <t>単位(kg)当たりのガス単価</t>
  </si>
  <si>
    <t>(経過年数の異なる地点）</t>
  </si>
  <si>
    <t>　S53.1.1～S54.11.28   = 6</t>
  </si>
  <si>
    <t>特殊ｹｰｽ1</t>
  </si>
  <si>
    <t>特殊ｹｰｽ2</t>
  </si>
  <si>
    <t>特殊ｹｰｽ3</t>
  </si>
  <si>
    <t>特殊ｹｰｽ4</t>
  </si>
  <si>
    <t>特殊ｹｰｽ5</t>
  </si>
  <si>
    <t>特殊ｹｰｽ6</t>
  </si>
  <si>
    <t>特殊ｹｰｽ7</t>
  </si>
  <si>
    <t>特殊ｹｰｽ8</t>
  </si>
  <si>
    <t>　S54.11.29～S56.2.16　= 7</t>
  </si>
  <si>
    <t>　S56.2.17～S58.8.16   = 8</t>
  </si>
  <si>
    <t>供給地点数　共同住宅（鋼管等）</t>
  </si>
  <si>
    <t>　S58.8.17～S62.10.18  = 9</t>
  </si>
  <si>
    <t>（該当以外　共同住宅（ＰＥ管）</t>
  </si>
  <si>
    <t>　S62.10.19～H1.3.31   =10</t>
  </si>
  <si>
    <t>　はDEL）   単独住宅（鋼管等）</t>
  </si>
  <si>
    <t>　H1.4.1～H11.11.18    =11</t>
  </si>
  <si>
    <t>　　　　　　単独住宅（ＰＥ管）</t>
  </si>
  <si>
    <t>都県コード</t>
  </si>
  <si>
    <t xml:space="preserve">  所要面積分の総額が明確なら→</t>
  </si>
  <si>
    <t>甲地</t>
  </si>
  <si>
    <t>乙地</t>
  </si>
  <si>
    <t>丙地</t>
  </si>
  <si>
    <t>　道路占用料（都市区分毎の地点数）</t>
  </si>
  <si>
    <t>単独住宅</t>
  </si>
  <si>
    <t>都市区分(道路占用料の根拠)</t>
  </si>
  <si>
    <t>　　　　　</t>
  </si>
  <si>
    <t>共同住宅</t>
  </si>
  <si>
    <t>　甲地:(50万以上の市)</t>
  </si>
  <si>
    <t xml:space="preserve">  乙地:(上記以外の市)</t>
  </si>
  <si>
    <t>投資の調整　</t>
  </si>
  <si>
    <t>　丙地:(町村)</t>
  </si>
  <si>
    <t>位</t>
  </si>
  <si>
    <t>　（該当部の　　切捨ての小数</t>
  </si>
  <si>
    <t>　　数を入力）　切上げの小数</t>
  </si>
  <si>
    <t>　機能別展開の調整はどこで？</t>
  </si>
  <si>
    <t>Ａ群</t>
  </si>
  <si>
    <t>Ｂ群</t>
  </si>
  <si>
    <t>Ｃ群</t>
  </si>
  <si>
    <t>延調定数比率（％）</t>
  </si>
  <si>
    <t>年間ガス販売量比率(%)</t>
  </si>
  <si>
    <t>ﾋﾟｰｸ月販売量比率(%)</t>
  </si>
  <si>
    <t>ﾒｰﾀｰ通過量比率(%)</t>
  </si>
  <si>
    <t>微調整群(A:1,B:2,C:3)</t>
  </si>
  <si>
    <t>　　　基本料金</t>
  </si>
  <si>
    <t>　　　基準単位料金</t>
  </si>
  <si>
    <t xml:space="preserve">       単位料金差</t>
  </si>
  <si>
    <t>収入の過不足</t>
  </si>
  <si>
    <t>　　収入の過不足</t>
  </si>
  <si>
    <t>　　　　　基本料金</t>
  </si>
  <si>
    <t>合計</t>
  </si>
  <si>
    <t>１月</t>
  </si>
  <si>
    <t>２月</t>
  </si>
  <si>
    <t>３月</t>
  </si>
  <si>
    <t>４月</t>
  </si>
  <si>
    <t>５月</t>
  </si>
  <si>
    <t>６月</t>
  </si>
  <si>
    <t>７月</t>
  </si>
  <si>
    <t>８月</t>
  </si>
  <si>
    <t>９月</t>
  </si>
  <si>
    <t>10月</t>
  </si>
  <si>
    <t>11月</t>
  </si>
  <si>
    <t>12月</t>
  </si>
  <si>
    <t>計</t>
  </si>
  <si>
    <t>延通過量</t>
  </si>
  <si>
    <t xml:space="preserve">     需要家数</t>
  </si>
  <si>
    <t xml:space="preserve">     延需要家数</t>
  </si>
  <si>
    <t xml:space="preserve">     ﾋﾟｰｸ月使用量</t>
  </si>
  <si>
    <t>家庭用</t>
  </si>
  <si>
    <t>商業用</t>
  </si>
  <si>
    <t>工業用等</t>
  </si>
  <si>
    <t>その他</t>
  </si>
  <si>
    <t>需要家数</t>
  </si>
  <si>
    <t>ﾋﾟｰｸ月</t>
  </si>
  <si>
    <t>道路占用料</t>
  </si>
  <si>
    <t>価</t>
  </si>
  <si>
    <t>円</t>
  </si>
  <si>
    <t>１</t>
  </si>
  <si>
    <t>２</t>
  </si>
  <si>
    <t>地</t>
  </si>
  <si>
    <t>地点当たり投資額</t>
  </si>
  <si>
    <t>パターン毎の投資額</t>
  </si>
  <si>
    <t>投資額</t>
  </si>
  <si>
    <t>通常</t>
  </si>
  <si>
    <t>ｹｰｽ1</t>
  </si>
  <si>
    <t>ｹｰｽ2</t>
  </si>
  <si>
    <t>ｹｰｽ3</t>
  </si>
  <si>
    <t>ｹｰｽ4</t>
  </si>
  <si>
    <t>ｹｰｽ5</t>
  </si>
  <si>
    <t>ｹｰｽ6</t>
  </si>
  <si>
    <t>ｹｰｽ7</t>
  </si>
  <si>
    <t>ｹｰｽ8</t>
  </si>
  <si>
    <t>償</t>
  </si>
  <si>
    <t>車両調整</t>
  </si>
  <si>
    <t>70～250</t>
  </si>
  <si>
    <t>251～1000</t>
  </si>
  <si>
    <t>1001～2000</t>
  </si>
  <si>
    <t>2001～3000</t>
  </si>
  <si>
    <t>3001～4000</t>
  </si>
  <si>
    <t>4001～5000</t>
  </si>
  <si>
    <t>5000～6000</t>
  </si>
  <si>
    <t>6001以上</t>
  </si>
  <si>
    <t>ケース区分毎の修繕費率</t>
  </si>
  <si>
    <t>項目</t>
  </si>
  <si>
    <t>通常ｹｰｽ</t>
  </si>
  <si>
    <t>特殊ｹｰｽ１</t>
  </si>
  <si>
    <t>投資額１</t>
  </si>
  <si>
    <t>特殊ｹｰｽ２</t>
  </si>
  <si>
    <t>投資額２</t>
  </si>
  <si>
    <t>特殊ｹｰｽ３</t>
  </si>
  <si>
    <t>投資額３</t>
  </si>
  <si>
    <t>特殊ｹｰｽ４</t>
  </si>
  <si>
    <t>投資額４</t>
  </si>
  <si>
    <t>特殊ｹｰｽ５</t>
  </si>
  <si>
    <t>投資額５</t>
  </si>
  <si>
    <t>特殊ｹｰｽ６</t>
  </si>
  <si>
    <t>投資額６</t>
  </si>
  <si>
    <t>特殊ｹｰｽ７</t>
  </si>
  <si>
    <t>投資額７</t>
  </si>
  <si>
    <t>特殊ｹｰｽ８</t>
  </si>
  <si>
    <t>投資額８</t>
  </si>
  <si>
    <t>　建物</t>
  </si>
  <si>
    <t>　構築物</t>
  </si>
  <si>
    <t>kg/年</t>
  </si>
  <si>
    <t>　集合装置</t>
  </si>
  <si>
    <t>　容器</t>
  </si>
  <si>
    <t>円/kg</t>
  </si>
  <si>
    <t>導管</t>
  </si>
  <si>
    <t>人</t>
  </si>
  <si>
    <t>　メーター</t>
  </si>
  <si>
    <t>　備品</t>
  </si>
  <si>
    <t>　車両</t>
  </si>
  <si>
    <t>投資額計</t>
  </si>
  <si>
    <t>修繕費</t>
  </si>
  <si>
    <t>〔土地〕</t>
  </si>
  <si>
    <t>（固定資産税）</t>
  </si>
  <si>
    <t>〔建物及び償却資産〕</t>
  </si>
  <si>
    <t>道路占用料の計算</t>
  </si>
  <si>
    <t>(5)減価償却費</t>
  </si>
  <si>
    <t>固定資産税課税標準額の調整（軽減率の算出）</t>
  </si>
  <si>
    <t>導管分</t>
  </si>
  <si>
    <t>取得額＝</t>
  </si>
  <si>
    <t>集合装置分</t>
  </si>
  <si>
    <t>軽減率</t>
  </si>
  <si>
    <t>償却額</t>
  </si>
  <si>
    <t>通常期初簿価</t>
  </si>
  <si>
    <t>軽減期初簿価</t>
  </si>
  <si>
    <t>(6)その他経費</t>
  </si>
  <si>
    <t>初年度</t>
  </si>
  <si>
    <t>２年度</t>
  </si>
  <si>
    <t>３年度</t>
  </si>
  <si>
    <t>４年度</t>
  </si>
  <si>
    <t>５年度</t>
  </si>
  <si>
    <t>６年度</t>
  </si>
  <si>
    <t>７年度</t>
  </si>
  <si>
    <t>８年度</t>
  </si>
  <si>
    <t xml:space="preserve">  H16.1.1～H19.5.6     =13</t>
    <phoneticPr fontId="2"/>
  </si>
  <si>
    <t>９年度</t>
  </si>
  <si>
    <t>10年度</t>
  </si>
  <si>
    <t>11年度</t>
  </si>
  <si>
    <t>12年度</t>
  </si>
  <si>
    <t>13年度</t>
  </si>
  <si>
    <t>償却率調整</t>
  </si>
  <si>
    <t>　　　建物</t>
  </si>
  <si>
    <t>　　　構築物</t>
  </si>
  <si>
    <t>　　　集合装置</t>
  </si>
  <si>
    <t>　　　導管</t>
  </si>
  <si>
    <t>導管償却費</t>
  </si>
  <si>
    <t>　　　メーター</t>
  </si>
  <si>
    <t>　　　備品</t>
  </si>
  <si>
    <t>　　　積算合計</t>
  </si>
  <si>
    <t>------------------</t>
  </si>
  <si>
    <t>配賦率に関する端数処理</t>
  </si>
  <si>
    <t>固定費、変動費の原価配賦集計表</t>
  </si>
  <si>
    <t>☆は＋調整、★は－調整</t>
  </si>
  <si>
    <t>　　　原単位</t>
  </si>
  <si>
    <t xml:space="preserve">     供給約款料金</t>
  </si>
  <si>
    <t>単位：円</t>
  </si>
  <si>
    <t xml:space="preserve">        機能別原価</t>
  </si>
  <si>
    <t>原単位(円)</t>
  </si>
  <si>
    <t>条件</t>
  </si>
  <si>
    <t xml:space="preserve"> 製造需要原価</t>
  </si>
  <si>
    <t xml:space="preserve"> 供給需要原価</t>
  </si>
  <si>
    <t>需要家原価</t>
  </si>
  <si>
    <t>変動費計</t>
  </si>
  <si>
    <t>年間販売量</t>
  </si>
  <si>
    <t>総括原価</t>
  </si>
  <si>
    <t>固定費</t>
  </si>
  <si>
    <t>変動費</t>
  </si>
  <si>
    <t>製造需要原価固定費計</t>
  </si>
  <si>
    <t>ﾋﾟｰｸ月使用量</t>
  </si>
  <si>
    <t>原　　料　　費</t>
  </si>
  <si>
    <t>供給需要原価固定費計</t>
  </si>
  <si>
    <t>延ﾒｰﾀｰ通過量</t>
  </si>
  <si>
    <t>労　　務　　費</t>
  </si>
  <si>
    <t>需要家原価計</t>
  </si>
  <si>
    <t>修　　繕　　費</t>
  </si>
  <si>
    <t>固 定 資 産 税</t>
  </si>
  <si>
    <t>道 路 占 用 料</t>
  </si>
  <si>
    <t>減　価</t>
  </si>
  <si>
    <t>除く車両</t>
  </si>
  <si>
    <t>償却費</t>
  </si>
  <si>
    <t>車    両</t>
  </si>
  <si>
    <t>減価償却費  計</t>
  </si>
  <si>
    <t>小　　計　　①</t>
  </si>
  <si>
    <t>そ の 他 経 費</t>
  </si>
  <si>
    <t>供給需要原価</t>
  </si>
  <si>
    <t>小    計　　②</t>
  </si>
  <si>
    <t>法　人　税  等</t>
  </si>
  <si>
    <t>小　　計　　③</t>
  </si>
  <si>
    <t>事　　業　　税</t>
  </si>
  <si>
    <t>合　　　　　計</t>
  </si>
  <si>
    <t>　　投資額の区分基礎</t>
  </si>
  <si>
    <t>除土地↓</t>
  </si>
  <si>
    <t>製造分</t>
  </si>
  <si>
    <t>供給分</t>
  </si>
  <si>
    <t>　　除車両</t>
  </si>
  <si>
    <t>需要家分</t>
  </si>
  <si>
    <t>計算表</t>
  </si>
  <si>
    <t>製造需要原価</t>
  </si>
  <si>
    <t>　　　　　合計</t>
  </si>
  <si>
    <t>積算項目</t>
  </si>
  <si>
    <t>乖離調整</t>
  </si>
  <si>
    <t>原料費</t>
  </si>
  <si>
    <t>全額</t>
  </si>
  <si>
    <t>労務費</t>
  </si>
  <si>
    <t>計算額１</t>
  </si>
  <si>
    <t xml:space="preserve">    微調整用（需要家原価で調整）</t>
  </si>
  <si>
    <t>計算額２</t>
  </si>
  <si>
    <t>　　調整値</t>
  </si>
  <si>
    <t>固定資産税</t>
  </si>
  <si>
    <t>　　　　除く車両</t>
  </si>
  <si>
    <t>減　除車両</t>
  </si>
  <si>
    <t>却　車両分</t>
  </si>
  <si>
    <t>その他経費</t>
  </si>
  <si>
    <t>計算額</t>
  </si>
  <si>
    <t>調整</t>
  </si>
  <si>
    <t>住民税</t>
  </si>
  <si>
    <t>事業税</t>
  </si>
  <si>
    <t>配賦額</t>
  </si>
  <si>
    <t>（単位：円）</t>
  </si>
  <si>
    <t>項　　　　目</t>
  </si>
  <si>
    <t>合　　計</t>
  </si>
  <si>
    <t>Ａ　　群</t>
  </si>
  <si>
    <t>Ｂ　　群</t>
  </si>
  <si>
    <t>Ｃ　　群</t>
  </si>
  <si>
    <t>年間ガス販売量比率</t>
  </si>
  <si>
    <t>減 価 償 却 費</t>
  </si>
  <si>
    <t>微調整</t>
  </si>
  <si>
    <t>調整値</t>
  </si>
  <si>
    <t xml:space="preserve">  地  点</t>
  </si>
  <si>
    <t>事 業 報 酬 額</t>
  </si>
  <si>
    <t xml:space="preserve">  販 売 量</t>
  </si>
  <si>
    <t>事    業    税</t>
  </si>
  <si>
    <t>合          計</t>
  </si>
  <si>
    <t>変　　動　　費　　計</t>
  </si>
  <si>
    <t>円／地点</t>
  </si>
  <si>
    <t>項　    目</t>
  </si>
  <si>
    <t xml:space="preserve">        (単位:円)</t>
  </si>
  <si>
    <t>製造需要原価固定費</t>
  </si>
  <si>
    <t>項　　　目</t>
  </si>
  <si>
    <t>基本料金</t>
  </si>
  <si>
    <t>合　計</t>
  </si>
  <si>
    <t>供給需要原価固定費</t>
  </si>
  <si>
    <t>収　入　計</t>
  </si>
  <si>
    <t>原　価　計</t>
  </si>
  <si>
    <t>収入過不足</t>
  </si>
  <si>
    <t>基準単位料金</t>
  </si>
  <si>
    <t>Ｃ群調整</t>
  </si>
  <si>
    <t>単位当たり</t>
  </si>
  <si>
    <t>総数推計</t>
  </si>
  <si>
    <t xml:space="preserve">  B群</t>
  </si>
  <si>
    <t>　製造</t>
  </si>
  <si>
    <t>　供給</t>
  </si>
  <si>
    <t>　需要家</t>
  </si>
  <si>
    <t xml:space="preserve">   変動費</t>
  </si>
  <si>
    <t>(単位:円)</t>
  </si>
  <si>
    <t>Ａ　　　群</t>
  </si>
  <si>
    <t>Ｂ　　　群</t>
  </si>
  <si>
    <t>Ｃ　　　群</t>
  </si>
  <si>
    <t>区分外</t>
  </si>
  <si>
    <t>昭和48年 　6月30日 　　　以前</t>
  </si>
  <si>
    <t>昭和48年 　7月1日～ 昭和49年 　9月19日</t>
  </si>
  <si>
    <t>昭和50年 　10月20日～ 昭和52年 　1月9日</t>
  </si>
  <si>
    <t>昭和52年 　1月10日～ 昭和52年 　12月31日</t>
  </si>
  <si>
    <t>昭和53年 　1月1日～ 昭和54年 　11月28日</t>
  </si>
  <si>
    <t>昭和54年 　11月29日～ 昭和56年 　2月16日</t>
  </si>
  <si>
    <t>昭和56年 　2月17日～ 昭和58年 　8月16日</t>
  </si>
  <si>
    <t>昭和58年 　8月17日～ 昭和62年 　10月18日</t>
  </si>
  <si>
    <t>昭和62年 　10月19日～ 平成元年 　3月31日</t>
  </si>
  <si>
    <t>平成元年 　4月1日～ 平成11年   11月18日</t>
  </si>
  <si>
    <t>建物</t>
  </si>
  <si>
    <t>構築物</t>
  </si>
  <si>
    <t>集合装置</t>
  </si>
  <si>
    <t>容器</t>
  </si>
  <si>
    <t>　〃（PE共同）</t>
  </si>
  <si>
    <t>　〃（PE単独）</t>
  </si>
  <si>
    <t>メーター</t>
  </si>
  <si>
    <t>備品</t>
  </si>
  <si>
    <t>ある場合の償却</t>
  </si>
  <si>
    <t>　〃(PE管)</t>
  </si>
  <si>
    <t>率</t>
  </si>
  <si>
    <t>昭和62年 　10月18日 　　以前</t>
  </si>
  <si>
    <t>平成元年 　4月1日～ 平成11年 　11月18日</t>
  </si>
  <si>
    <t>250超～1,000</t>
  </si>
  <si>
    <t>1,000超～2,000</t>
  </si>
  <si>
    <t>2,000超～3,000</t>
  </si>
  <si>
    <t>3,000超～4,000</t>
  </si>
  <si>
    <t>4,000超～5,000</t>
  </si>
  <si>
    <t>5,000超～6,000</t>
  </si>
  <si>
    <t>6,000超</t>
  </si>
  <si>
    <t>都道府県</t>
  </si>
  <si>
    <t>係数</t>
  </si>
  <si>
    <t>北海道</t>
  </si>
  <si>
    <t>岡山</t>
  </si>
  <si>
    <t>青森</t>
  </si>
  <si>
    <t>広島</t>
  </si>
  <si>
    <t>岩手</t>
  </si>
  <si>
    <t>山口</t>
  </si>
  <si>
    <t>宮城</t>
  </si>
  <si>
    <t>徳島</t>
  </si>
  <si>
    <t>秋田</t>
  </si>
  <si>
    <t>香川</t>
  </si>
  <si>
    <t>山形</t>
  </si>
  <si>
    <t>愛媛</t>
  </si>
  <si>
    <t>福島</t>
  </si>
  <si>
    <t>高知</t>
  </si>
  <si>
    <t>茨城</t>
  </si>
  <si>
    <t>福岡</t>
  </si>
  <si>
    <t>栃木</t>
  </si>
  <si>
    <t>佐賀</t>
  </si>
  <si>
    <t>群馬</t>
  </si>
  <si>
    <t>長崎</t>
  </si>
  <si>
    <t>埼玉</t>
  </si>
  <si>
    <t>熊本</t>
  </si>
  <si>
    <t>千葉</t>
  </si>
  <si>
    <t>大分</t>
  </si>
  <si>
    <t>東京</t>
  </si>
  <si>
    <t>奈良</t>
  </si>
  <si>
    <t>宮崎</t>
  </si>
  <si>
    <t>神奈川</t>
  </si>
  <si>
    <t>和歌山</t>
  </si>
  <si>
    <t>鹿児島</t>
  </si>
  <si>
    <t>新潟</t>
  </si>
  <si>
    <t>鳥取</t>
  </si>
  <si>
    <t>沖縄</t>
  </si>
  <si>
    <t>島根</t>
  </si>
  <si>
    <t>係数の抽出→</t>
  </si>
  <si>
    <t>事業報酬率</t>
  </si>
  <si>
    <t>私営事業者</t>
  </si>
  <si>
    <t>延調定数比率</t>
  </si>
  <si>
    <t>１～３月ﾋﾟｰｸ月販売量比率</t>
  </si>
  <si>
    <t>ﾒｰﾀｰ通過量比率</t>
  </si>
  <si>
    <t>公営事業者</t>
  </si>
  <si>
    <t>茨城県</t>
  </si>
  <si>
    <t>栃木県</t>
  </si>
  <si>
    <t>群馬県</t>
  </si>
  <si>
    <t>埼玉県</t>
  </si>
  <si>
    <t>千葉県</t>
  </si>
  <si>
    <t>東京都</t>
  </si>
  <si>
    <t>神奈川県</t>
  </si>
  <si>
    <t>新潟県</t>
  </si>
  <si>
    <t>山梨県</t>
  </si>
  <si>
    <t>対象県→</t>
  </si>
  <si>
    <t xml:space="preserve">  H11.11.19～H15.12.31 =12</t>
    <phoneticPr fontId="2"/>
  </si>
  <si>
    <t>平成11年　　　　11月19日～　平成15年　　　12月31日　　　　　　</t>
    <rPh sb="17" eb="19">
      <t>ヘイセイ</t>
    </rPh>
    <rPh sb="21" eb="22">
      <t>ネン</t>
    </rPh>
    <rPh sb="27" eb="28">
      <t>ツキ</t>
    </rPh>
    <rPh sb="30" eb="31">
      <t>ヒ</t>
    </rPh>
    <phoneticPr fontId="2"/>
  </si>
  <si>
    <t>－</t>
  </si>
  <si>
    <t>経過年数</t>
  </si>
  <si>
    <t>年次区分</t>
    <rPh sb="0" eb="2">
      <t>ネンジ</t>
    </rPh>
    <rPh sb="2" eb="4">
      <t>クブン</t>
    </rPh>
    <phoneticPr fontId="22"/>
  </si>
  <si>
    <t>年</t>
    <rPh sb="0" eb="1">
      <t>ネン</t>
    </rPh>
    <phoneticPr fontId="22"/>
  </si>
  <si>
    <t>～Ｓ44</t>
    <phoneticPr fontId="22"/>
  </si>
  <si>
    <t>S45</t>
    <phoneticPr fontId="22"/>
  </si>
  <si>
    <t>S46</t>
    <phoneticPr fontId="22"/>
  </si>
  <si>
    <t>S47</t>
    <phoneticPr fontId="22"/>
  </si>
  <si>
    <t xml:space="preserve">   S48</t>
    <phoneticPr fontId="22"/>
  </si>
  <si>
    <t xml:space="preserve">     S49</t>
    <phoneticPr fontId="22"/>
  </si>
  <si>
    <t xml:space="preserve">     S50</t>
    <phoneticPr fontId="22"/>
  </si>
  <si>
    <t>S51</t>
    <phoneticPr fontId="22"/>
  </si>
  <si>
    <t>S52</t>
    <phoneticPr fontId="22"/>
  </si>
  <si>
    <t>S53</t>
    <phoneticPr fontId="22"/>
  </si>
  <si>
    <t>　　S54</t>
    <phoneticPr fontId="22"/>
  </si>
  <si>
    <t>S55</t>
    <phoneticPr fontId="22"/>
  </si>
  <si>
    <t xml:space="preserve">     S56</t>
    <phoneticPr fontId="22"/>
  </si>
  <si>
    <t>S57</t>
    <phoneticPr fontId="22"/>
  </si>
  <si>
    <t xml:space="preserve">     S58</t>
    <phoneticPr fontId="22"/>
  </si>
  <si>
    <t>S59</t>
    <phoneticPr fontId="22"/>
  </si>
  <si>
    <t>S60</t>
    <phoneticPr fontId="22"/>
  </si>
  <si>
    <t>S61</t>
    <phoneticPr fontId="22"/>
  </si>
  <si>
    <t>S62</t>
    <phoneticPr fontId="22"/>
  </si>
  <si>
    <t>経過年数</t>
    <rPh sb="0" eb="2">
      <t>ケイカ</t>
    </rPh>
    <rPh sb="2" eb="4">
      <t>ネンスウ</t>
    </rPh>
    <phoneticPr fontId="22"/>
  </si>
  <si>
    <t>35～</t>
    <phoneticPr fontId="22"/>
  </si>
  <si>
    <t>建物</t>
    <rPh sb="0" eb="2">
      <t>タテモノ</t>
    </rPh>
    <phoneticPr fontId="22"/>
  </si>
  <si>
    <t>（対象地点数）</t>
    <rPh sb="1" eb="3">
      <t>タイショウ</t>
    </rPh>
    <rPh sb="3" eb="5">
      <t>チテン</t>
    </rPh>
    <rPh sb="5" eb="6">
      <t>スウ</t>
    </rPh>
    <phoneticPr fontId="22"/>
  </si>
  <si>
    <t>構築物</t>
    <rPh sb="0" eb="3">
      <t>コウチクブツ</t>
    </rPh>
    <phoneticPr fontId="22"/>
  </si>
  <si>
    <t>－</t>
    <phoneticPr fontId="22"/>
  </si>
  <si>
    <t>集合装置</t>
    <rPh sb="0" eb="2">
      <t>シュウゴウ</t>
    </rPh>
    <rPh sb="2" eb="4">
      <t>ソウチ</t>
    </rPh>
    <phoneticPr fontId="22"/>
  </si>
  <si>
    <t>容器</t>
    <rPh sb="0" eb="2">
      <t>ヨウキ</t>
    </rPh>
    <phoneticPr fontId="22"/>
  </si>
  <si>
    <t>導管         （単独住宅）</t>
    <rPh sb="0" eb="2">
      <t>ドウカン</t>
    </rPh>
    <rPh sb="12" eb="14">
      <t>タンドク</t>
    </rPh>
    <rPh sb="14" eb="16">
      <t>ジュウタク</t>
    </rPh>
    <phoneticPr fontId="22"/>
  </si>
  <si>
    <t>鋼管</t>
    <rPh sb="0" eb="2">
      <t>コウカン</t>
    </rPh>
    <phoneticPr fontId="22"/>
  </si>
  <si>
    <t>ＰＥ管</t>
    <rPh sb="2" eb="3">
      <t>カン</t>
    </rPh>
    <phoneticPr fontId="22"/>
  </si>
  <si>
    <t>－</t>
    <phoneticPr fontId="22"/>
  </si>
  <si>
    <t>メーター</t>
    <phoneticPr fontId="22"/>
  </si>
  <si>
    <t>備品</t>
    <rPh sb="0" eb="2">
      <t>ビヒン</t>
    </rPh>
    <phoneticPr fontId="22"/>
  </si>
  <si>
    <t>車両</t>
    <rPh sb="0" eb="2">
      <t>シャリョウ</t>
    </rPh>
    <phoneticPr fontId="22"/>
  </si>
  <si>
    <t xml:space="preserve">   S63</t>
    <phoneticPr fontId="22"/>
  </si>
  <si>
    <t xml:space="preserve">    H元</t>
    <phoneticPr fontId="22"/>
  </si>
  <si>
    <t>H2</t>
    <phoneticPr fontId="22"/>
  </si>
  <si>
    <t>H3</t>
    <phoneticPr fontId="22"/>
  </si>
  <si>
    <t>H4</t>
    <phoneticPr fontId="22"/>
  </si>
  <si>
    <t>H5</t>
    <phoneticPr fontId="22"/>
  </si>
  <si>
    <t>H6</t>
    <phoneticPr fontId="22"/>
  </si>
  <si>
    <t>H7</t>
    <phoneticPr fontId="22"/>
  </si>
  <si>
    <t>H8</t>
    <phoneticPr fontId="22"/>
  </si>
  <si>
    <t>H9</t>
    <phoneticPr fontId="22"/>
  </si>
  <si>
    <t>H10</t>
    <phoneticPr fontId="22"/>
  </si>
  <si>
    <t>　　　H11</t>
    <phoneticPr fontId="22"/>
  </si>
  <si>
    <t>H12</t>
    <phoneticPr fontId="22"/>
  </si>
  <si>
    <t>H13</t>
    <phoneticPr fontId="22"/>
  </si>
  <si>
    <t>H14</t>
    <phoneticPr fontId="22"/>
  </si>
  <si>
    <t>H15</t>
    <phoneticPr fontId="22"/>
  </si>
  <si>
    <t>導管          （単独住宅）</t>
    <rPh sb="0" eb="2">
      <t>ドウカン</t>
    </rPh>
    <rPh sb="13" eb="15">
      <t>タンドク</t>
    </rPh>
    <rPh sb="15" eb="17">
      <t>ジュウタク</t>
    </rPh>
    <phoneticPr fontId="22"/>
  </si>
  <si>
    <t>第４表</t>
    <rPh sb="0" eb="1">
      <t>ダイ</t>
    </rPh>
    <rPh sb="2" eb="3">
      <t>ヒョウ</t>
    </rPh>
    <phoneticPr fontId="22"/>
  </si>
  <si>
    <t>供給約款料金原価と料金収入の比較表</t>
    <rPh sb="0" eb="2">
      <t>キョウキュウ</t>
    </rPh>
    <rPh sb="2" eb="4">
      <t>ヤッカン</t>
    </rPh>
    <rPh sb="4" eb="6">
      <t>リョウキン</t>
    </rPh>
    <rPh sb="6" eb="8">
      <t>ゲンカ</t>
    </rPh>
    <rPh sb="9" eb="11">
      <t>リョウキン</t>
    </rPh>
    <rPh sb="11" eb="13">
      <t>シュウニュウ</t>
    </rPh>
    <rPh sb="14" eb="16">
      <t>ヒカク</t>
    </rPh>
    <rPh sb="16" eb="17">
      <t>ヒョウ</t>
    </rPh>
    <phoneticPr fontId="22"/>
  </si>
  <si>
    <t>部分に入力</t>
    <rPh sb="0" eb="2">
      <t>ブブン</t>
    </rPh>
    <rPh sb="3" eb="5">
      <t>ニュウリョク</t>
    </rPh>
    <phoneticPr fontId="22"/>
  </si>
  <si>
    <t>様式第１　（第３条、第４条、第５条、第６条、第７条関係）</t>
    <rPh sb="0" eb="2">
      <t>ヨウシキ</t>
    </rPh>
    <rPh sb="2" eb="3">
      <t>ダイ</t>
    </rPh>
    <rPh sb="6" eb="7">
      <t>ダイ</t>
    </rPh>
    <rPh sb="8" eb="9">
      <t>ジョウ</t>
    </rPh>
    <rPh sb="10" eb="11">
      <t>ダイ</t>
    </rPh>
    <rPh sb="12" eb="13">
      <t>ジョウ</t>
    </rPh>
    <rPh sb="14" eb="15">
      <t>ダイ</t>
    </rPh>
    <rPh sb="16" eb="17">
      <t>ジョウ</t>
    </rPh>
    <rPh sb="18" eb="19">
      <t>ダイ</t>
    </rPh>
    <rPh sb="20" eb="21">
      <t>ジョウ</t>
    </rPh>
    <rPh sb="22" eb="23">
      <t>ダイ</t>
    </rPh>
    <rPh sb="24" eb="25">
      <t>ジョウ</t>
    </rPh>
    <rPh sb="25" eb="27">
      <t>カンケイ</t>
    </rPh>
    <phoneticPr fontId="2"/>
  </si>
  <si>
    <t>　第１表</t>
    <rPh sb="1" eb="2">
      <t>ダイ</t>
    </rPh>
    <rPh sb="3" eb="4">
      <t>ヒョウ</t>
    </rPh>
    <phoneticPr fontId="2"/>
  </si>
  <si>
    <t>　第２表</t>
    <rPh sb="1" eb="2">
      <t>ダイ</t>
    </rPh>
    <rPh sb="3" eb="4">
      <t>ヒョウ</t>
    </rPh>
    <phoneticPr fontId="2"/>
  </si>
  <si>
    <t>管</t>
    <rPh sb="0" eb="1">
      <t>カン</t>
    </rPh>
    <phoneticPr fontId="2"/>
  </si>
  <si>
    <t>項　　目</t>
    <rPh sb="0" eb="1">
      <t>コウ</t>
    </rPh>
    <rPh sb="3" eb="4">
      <t>メ</t>
    </rPh>
    <phoneticPr fontId="2"/>
  </si>
  <si>
    <t>土</t>
    <rPh sb="0" eb="1">
      <t>ツチ</t>
    </rPh>
    <phoneticPr fontId="2"/>
  </si>
  <si>
    <t>上記以外</t>
    <rPh sb="0" eb="2">
      <t>ジョウキ</t>
    </rPh>
    <rPh sb="2" eb="4">
      <t>イガイ</t>
    </rPh>
    <phoneticPr fontId="2"/>
  </si>
  <si>
    <t>平成22年　　　4月1日～　　平成25年　　　3月31日</t>
    <rPh sb="0" eb="2">
      <t>ヘイセイ</t>
    </rPh>
    <rPh sb="4" eb="5">
      <t>ネン</t>
    </rPh>
    <rPh sb="9" eb="10">
      <t>ツキ</t>
    </rPh>
    <rPh sb="11" eb="12">
      <t>ヒ</t>
    </rPh>
    <rPh sb="15" eb="17">
      <t>ヘイセイ</t>
    </rPh>
    <rPh sb="19" eb="20">
      <t>ネン</t>
    </rPh>
    <rPh sb="24" eb="25">
      <t>ガツ</t>
    </rPh>
    <rPh sb="27" eb="28">
      <t>ニチ</t>
    </rPh>
    <phoneticPr fontId="2"/>
  </si>
  <si>
    <t xml:space="preserve">  H19.5.7～H22.3.31    =14</t>
    <phoneticPr fontId="2"/>
  </si>
  <si>
    <t xml:space="preserve">  H22.4.1～H25.3.31    =15</t>
    <phoneticPr fontId="2"/>
  </si>
  <si>
    <t>営業費項目別算定明細表</t>
    <rPh sb="0" eb="3">
      <t>エイギョウヒ</t>
    </rPh>
    <rPh sb="3" eb="5">
      <t>コウモク</t>
    </rPh>
    <rPh sb="5" eb="6">
      <t>ベツ</t>
    </rPh>
    <rPh sb="6" eb="8">
      <t>サンテイ</t>
    </rPh>
    <rPh sb="8" eb="10">
      <t>メイサイ</t>
    </rPh>
    <rPh sb="10" eb="11">
      <t>オモテ</t>
    </rPh>
    <phoneticPr fontId="2"/>
  </si>
  <si>
    <t>第３表</t>
    <rPh sb="0" eb="1">
      <t>ダイ</t>
    </rPh>
    <rPh sb="2" eb="3">
      <t>ヒョウ</t>
    </rPh>
    <phoneticPr fontId="2"/>
  </si>
  <si>
    <t>営業費以外の項目算定明細表</t>
    <rPh sb="0" eb="3">
      <t>エイギョウヒ</t>
    </rPh>
    <rPh sb="3" eb="5">
      <t>イガイ</t>
    </rPh>
    <rPh sb="6" eb="8">
      <t>コウモク</t>
    </rPh>
    <rPh sb="8" eb="10">
      <t>サンテイ</t>
    </rPh>
    <rPh sb="10" eb="12">
      <t>メイサイ</t>
    </rPh>
    <rPh sb="12" eb="13">
      <t>オモテ</t>
    </rPh>
    <phoneticPr fontId="2"/>
  </si>
  <si>
    <t>　第４表</t>
    <rPh sb="1" eb="2">
      <t>ダイ</t>
    </rPh>
    <rPh sb="3" eb="4">
      <t>ヒョウ</t>
    </rPh>
    <phoneticPr fontId="2"/>
  </si>
  <si>
    <t>事業報酬算定明細表</t>
    <rPh sb="0" eb="2">
      <t>ジギョウ</t>
    </rPh>
    <rPh sb="2" eb="4">
      <t>ホウシュウ</t>
    </rPh>
    <rPh sb="4" eb="6">
      <t>サンテイ</t>
    </rPh>
    <rPh sb="6" eb="8">
      <t>メイサイ</t>
    </rPh>
    <rPh sb="8" eb="9">
      <t>ヒョウ</t>
    </rPh>
    <phoneticPr fontId="2"/>
  </si>
  <si>
    <t>　第５表</t>
    <rPh sb="1" eb="2">
      <t>ダイ</t>
    </rPh>
    <rPh sb="3" eb="4">
      <t>ヒョウ</t>
    </rPh>
    <phoneticPr fontId="2"/>
  </si>
  <si>
    <t>様式第２　（第８条、第９条、第１０条、第１１条関係）</t>
    <rPh sb="0" eb="2">
      <t>ヨウシキ</t>
    </rPh>
    <rPh sb="2" eb="3">
      <t>ダイ</t>
    </rPh>
    <rPh sb="6" eb="7">
      <t>ダイ</t>
    </rPh>
    <rPh sb="8" eb="9">
      <t>ジョウ</t>
    </rPh>
    <rPh sb="10" eb="11">
      <t>ダイ</t>
    </rPh>
    <rPh sb="12" eb="13">
      <t>ジョウ</t>
    </rPh>
    <rPh sb="14" eb="15">
      <t>ダイ</t>
    </rPh>
    <rPh sb="17" eb="18">
      <t>ジョウ</t>
    </rPh>
    <rPh sb="19" eb="20">
      <t>ダイ</t>
    </rPh>
    <rPh sb="22" eb="23">
      <t>ジョウ</t>
    </rPh>
    <rPh sb="23" eb="25">
      <t>カンケイ</t>
    </rPh>
    <phoneticPr fontId="2"/>
  </si>
  <si>
    <t>機能別原価配分集計表</t>
    <rPh sb="0" eb="2">
      <t>キノウ</t>
    </rPh>
    <rPh sb="2" eb="3">
      <t>ベツ</t>
    </rPh>
    <rPh sb="3" eb="5">
      <t>ゲンカ</t>
    </rPh>
    <rPh sb="5" eb="7">
      <t>ハイブン</t>
    </rPh>
    <rPh sb="7" eb="9">
      <t>シュウケイ</t>
    </rPh>
    <rPh sb="9" eb="10">
      <t>オモテ</t>
    </rPh>
    <phoneticPr fontId="2"/>
  </si>
  <si>
    <t>需要種別原価整理表</t>
    <rPh sb="0" eb="2">
      <t>ジュヨウ</t>
    </rPh>
    <rPh sb="2" eb="4">
      <t>シュベツ</t>
    </rPh>
    <rPh sb="4" eb="6">
      <t>ゲンカ</t>
    </rPh>
    <rPh sb="6" eb="8">
      <t>セイリ</t>
    </rPh>
    <rPh sb="8" eb="9">
      <t>ヒョウ</t>
    </rPh>
    <phoneticPr fontId="2"/>
  </si>
  <si>
    <t>　第３表</t>
    <rPh sb="1" eb="2">
      <t>ダイ</t>
    </rPh>
    <rPh sb="3" eb="4">
      <t>ヒョウ</t>
    </rPh>
    <phoneticPr fontId="2"/>
  </si>
  <si>
    <t>福島県</t>
    <rPh sb="0" eb="3">
      <t>フクシマケン</t>
    </rPh>
    <phoneticPr fontId="2"/>
  </si>
  <si>
    <t>共同導管入替</t>
    <rPh sb="0" eb="2">
      <t>キョウドウ</t>
    </rPh>
    <rPh sb="2" eb="4">
      <t>ドウカン</t>
    </rPh>
    <rPh sb="4" eb="6">
      <t>イレカエ</t>
    </rPh>
    <phoneticPr fontId="2"/>
  </si>
  <si>
    <t>単独導管入替</t>
    <rPh sb="0" eb="2">
      <t>タンドク</t>
    </rPh>
    <rPh sb="2" eb="4">
      <t>ドウカン</t>
    </rPh>
    <rPh sb="4" eb="6">
      <t>イレカエ</t>
    </rPh>
    <phoneticPr fontId="2"/>
  </si>
  <si>
    <t>円</t>
    <rPh sb="0" eb="1">
      <t>エン</t>
    </rPh>
    <phoneticPr fontId="2"/>
  </si>
  <si>
    <t>導管取替(B④)</t>
    <rPh sb="0" eb="2">
      <t>ドウカン</t>
    </rPh>
    <rPh sb="2" eb="4">
      <t>トリカエ</t>
    </rPh>
    <phoneticPr fontId="2"/>
  </si>
  <si>
    <t>導管取替(B⑤)</t>
    <rPh sb="0" eb="2">
      <t>ドウカン</t>
    </rPh>
    <rPh sb="2" eb="4">
      <t>トリカエ</t>
    </rPh>
    <phoneticPr fontId="2"/>
  </si>
  <si>
    <t>（参考１）需　要　構　成</t>
    <rPh sb="1" eb="3">
      <t>サンコウ</t>
    </rPh>
    <phoneticPr fontId="2"/>
  </si>
  <si>
    <t>（参考３）収入の過不足の計算</t>
    <rPh sb="1" eb="3">
      <t>サンコウ</t>
    </rPh>
    <phoneticPr fontId="2"/>
  </si>
  <si>
    <t>　　　　　　気化装置有 YES:1</t>
    <rPh sb="6" eb="8">
      <t>キカ</t>
    </rPh>
    <rPh sb="8" eb="10">
      <t>ソウチ</t>
    </rPh>
    <rPh sb="10" eb="11">
      <t>アリ</t>
    </rPh>
    <phoneticPr fontId="2"/>
  </si>
  <si>
    <t>強制気化装置</t>
    <rPh sb="0" eb="2">
      <t>キョウセイ</t>
    </rPh>
    <rPh sb="2" eb="4">
      <t>キカ</t>
    </rPh>
    <rPh sb="4" eb="6">
      <t>ソウチ</t>
    </rPh>
    <phoneticPr fontId="2"/>
  </si>
  <si>
    <t>-</t>
    <phoneticPr fontId="2"/>
  </si>
  <si>
    <t>年数別修繕費率</t>
    <rPh sb="0" eb="2">
      <t>ネンスウ</t>
    </rPh>
    <rPh sb="2" eb="3">
      <t>ベツ</t>
    </rPh>
    <rPh sb="3" eb="6">
      <t>シュウゼンヒ</t>
    </rPh>
    <rPh sb="6" eb="7">
      <t>リツ</t>
    </rPh>
    <phoneticPr fontId="2"/>
  </si>
  <si>
    <t>１導管</t>
    <phoneticPr fontId="2"/>
  </si>
  <si>
    <t>２導管</t>
    <phoneticPr fontId="2"/>
  </si>
  <si>
    <t>３導管</t>
    <phoneticPr fontId="2"/>
  </si>
  <si>
    <t>４導管</t>
    <phoneticPr fontId="2"/>
  </si>
  <si>
    <t>全体（修繕費）</t>
    <rPh sb="0" eb="2">
      <t>ゼンタイ</t>
    </rPh>
    <rPh sb="3" eb="6">
      <t>シュウゼンヒ</t>
    </rPh>
    <phoneticPr fontId="2"/>
  </si>
  <si>
    <t>修繕費計</t>
    <rPh sb="3" eb="4">
      <t>ケイ</t>
    </rPh>
    <phoneticPr fontId="2"/>
  </si>
  <si>
    <t>小計</t>
    <rPh sb="0" eb="2">
      <t>ショウケイ</t>
    </rPh>
    <phoneticPr fontId="2"/>
  </si>
  <si>
    <t>強制
気化装置</t>
    <rPh sb="0" eb="2">
      <t>キョウセイ</t>
    </rPh>
    <rPh sb="3" eb="5">
      <t>キカ</t>
    </rPh>
    <rPh sb="5" eb="7">
      <t>ソウチ</t>
    </rPh>
    <phoneticPr fontId="2"/>
  </si>
  <si>
    <t>　　　強制気化装置</t>
    <rPh sb="3" eb="5">
      <t>キョウセイ</t>
    </rPh>
    <rPh sb="5" eb="7">
      <t>キカ</t>
    </rPh>
    <rPh sb="7" eb="9">
      <t>ソウチ</t>
    </rPh>
    <phoneticPr fontId="2"/>
  </si>
  <si>
    <t>代表取締役</t>
    <rPh sb="0" eb="2">
      <t>ダイヒョウ</t>
    </rPh>
    <rPh sb="2" eb="5">
      <t>トリシマリヤク</t>
    </rPh>
    <phoneticPr fontId="2"/>
  </si>
  <si>
    <t>コミュニティーガス（株）</t>
    <rPh sb="10" eb="11">
      <t>カブ</t>
    </rPh>
    <phoneticPr fontId="2"/>
  </si>
  <si>
    <t>コミュニティー団地</t>
    <rPh sb="7" eb="9">
      <t>ダンチ</t>
    </rPh>
    <phoneticPr fontId="2"/>
  </si>
  <si>
    <t>東京都港区西新橋1-2-9</t>
    <rPh sb="0" eb="3">
      <t>トウキョウト</t>
    </rPh>
    <rPh sb="3" eb="5">
      <t>ミナトク</t>
    </rPh>
    <rPh sb="5" eb="8">
      <t>ニシシンバシ</t>
    </rPh>
    <phoneticPr fontId="2"/>
  </si>
  <si>
    <t>簡易太郎</t>
    <rPh sb="0" eb="2">
      <t>カンイ</t>
    </rPh>
    <rPh sb="2" eb="4">
      <t>タロウ</t>
    </rPh>
    <phoneticPr fontId="2"/>
  </si>
  <si>
    <t>東京都中央区日本橋</t>
    <rPh sb="0" eb="3">
      <t>トウキョウト</t>
    </rPh>
    <rPh sb="3" eb="6">
      <t>チュウオウク</t>
    </rPh>
    <rPh sb="6" eb="9">
      <t>ニホンバシ</t>
    </rPh>
    <phoneticPr fontId="2"/>
  </si>
  <si>
    <t>関東経済産業局</t>
    <rPh sb="0" eb="2">
      <t>カントウ</t>
    </rPh>
    <rPh sb="2" eb="4">
      <t>ケイザイ</t>
    </rPh>
    <rPh sb="4" eb="6">
      <t>サンギョウ</t>
    </rPh>
    <rPh sb="6" eb="7">
      <t>キョク</t>
    </rPh>
    <phoneticPr fontId="2"/>
  </si>
  <si>
    <t>共同鋼管</t>
    <rPh sb="0" eb="2">
      <t>キョウドウ</t>
    </rPh>
    <rPh sb="2" eb="4">
      <t>コウカン</t>
    </rPh>
    <phoneticPr fontId="2"/>
  </si>
  <si>
    <t>共同ＰＥ</t>
    <rPh sb="0" eb="2">
      <t>キョウドウ</t>
    </rPh>
    <phoneticPr fontId="2"/>
  </si>
  <si>
    <t>単独鋼管</t>
    <rPh sb="0" eb="2">
      <t>タンドク</t>
    </rPh>
    <rPh sb="2" eb="4">
      <t>コウカン</t>
    </rPh>
    <phoneticPr fontId="2"/>
  </si>
  <si>
    <t>単独ＰＥ</t>
    <rPh sb="0" eb="2">
      <t>タンドク</t>
    </rPh>
    <phoneticPr fontId="2"/>
  </si>
  <si>
    <t>導管入替区分の修繕費</t>
    <rPh sb="0" eb="2">
      <t>ドウカン</t>
    </rPh>
    <rPh sb="2" eb="4">
      <t>イレカエ</t>
    </rPh>
    <rPh sb="4" eb="6">
      <t>クブン</t>
    </rPh>
    <rPh sb="7" eb="9">
      <t>シュウゼン</t>
    </rPh>
    <rPh sb="9" eb="10">
      <t>ヒ</t>
    </rPh>
    <phoneticPr fontId="2"/>
  </si>
  <si>
    <t>共同住宅</t>
    <rPh sb="0" eb="2">
      <t>キョウドウ</t>
    </rPh>
    <rPh sb="2" eb="4">
      <t>ジュウタク</t>
    </rPh>
    <phoneticPr fontId="2"/>
  </si>
  <si>
    <t>単独住宅</t>
    <rPh sb="0" eb="2">
      <t>タンドク</t>
    </rPh>
    <rPh sb="2" eb="4">
      <t>ジュウタク</t>
    </rPh>
    <phoneticPr fontId="2"/>
  </si>
  <si>
    <t>通常ｹｰｽ</t>
    <rPh sb="0" eb="2">
      <t>ツウジョウ</t>
    </rPh>
    <phoneticPr fontId="2"/>
  </si>
  <si>
    <t>導管取替</t>
    <rPh sb="0" eb="2">
      <t>ドウカン</t>
    </rPh>
    <rPh sb="2" eb="4">
      <t>トリカエ</t>
    </rPh>
    <phoneticPr fontId="2"/>
  </si>
  <si>
    <t>　北海道: 1　青森県: 2</t>
    <rPh sb="1" eb="4">
      <t>ホッカイドウ</t>
    </rPh>
    <rPh sb="8" eb="11">
      <t>アオモリケン</t>
    </rPh>
    <phoneticPr fontId="2"/>
  </si>
  <si>
    <t>　岩手県: 3　宮城県: 4</t>
    <rPh sb="1" eb="4">
      <t>イワテケン</t>
    </rPh>
    <rPh sb="8" eb="11">
      <t>ミヤギケン</t>
    </rPh>
    <phoneticPr fontId="2"/>
  </si>
  <si>
    <t>　秋田県: 5　山形県: 6</t>
    <rPh sb="1" eb="4">
      <t>アキタケン</t>
    </rPh>
    <rPh sb="8" eb="11">
      <t>ヤマガタケン</t>
    </rPh>
    <phoneticPr fontId="2"/>
  </si>
  <si>
    <t>　福島県: 7　茨城県: 8</t>
    <rPh sb="1" eb="4">
      <t>フクシマケン</t>
    </rPh>
    <rPh sb="8" eb="11">
      <t>イバラギケン</t>
    </rPh>
    <phoneticPr fontId="2"/>
  </si>
  <si>
    <t>　栃木県: 9　群馬県:10</t>
    <rPh sb="8" eb="11">
      <t>グンマケン</t>
    </rPh>
    <phoneticPr fontId="2"/>
  </si>
  <si>
    <t>　埼玉県:11　千葉県:12</t>
    <rPh sb="8" eb="11">
      <t>チバケン</t>
    </rPh>
    <phoneticPr fontId="2"/>
  </si>
  <si>
    <t>　東京都:13　神奈川県:14</t>
    <rPh sb="1" eb="4">
      <t>トウキョウト</t>
    </rPh>
    <rPh sb="8" eb="11">
      <t>カナガワ</t>
    </rPh>
    <phoneticPr fontId="2"/>
  </si>
  <si>
    <t>　新潟県:15　長野県:16</t>
    <rPh sb="1" eb="3">
      <t>ニイガタ</t>
    </rPh>
    <rPh sb="8" eb="10">
      <t>ナガノ</t>
    </rPh>
    <phoneticPr fontId="2"/>
  </si>
  <si>
    <t>　山梨県:17　静岡県:18</t>
    <rPh sb="1" eb="3">
      <t>ヤマナシ</t>
    </rPh>
    <rPh sb="8" eb="10">
      <t>シズオカ</t>
    </rPh>
    <phoneticPr fontId="2"/>
  </si>
  <si>
    <t>　富山県:19　石川県:20</t>
    <rPh sb="1" eb="3">
      <t>トヤマ</t>
    </rPh>
    <rPh sb="8" eb="10">
      <t>イシカワ</t>
    </rPh>
    <phoneticPr fontId="2"/>
  </si>
  <si>
    <t>　愛知県:21　岐阜県:22</t>
    <rPh sb="1" eb="3">
      <t>アイチ</t>
    </rPh>
    <rPh sb="8" eb="10">
      <t>ギフ</t>
    </rPh>
    <phoneticPr fontId="2"/>
  </si>
  <si>
    <t>　三重県:23　福井県:24</t>
    <rPh sb="1" eb="3">
      <t>ミエ</t>
    </rPh>
    <rPh sb="3" eb="4">
      <t>ケン</t>
    </rPh>
    <rPh sb="8" eb="10">
      <t>フクイ</t>
    </rPh>
    <rPh sb="10" eb="11">
      <t>ケン</t>
    </rPh>
    <phoneticPr fontId="2"/>
  </si>
  <si>
    <t>　大阪府:25　兵庫県:26</t>
    <rPh sb="1" eb="4">
      <t>オオサカフ</t>
    </rPh>
    <rPh sb="8" eb="11">
      <t>ヒョウゴケン</t>
    </rPh>
    <phoneticPr fontId="2"/>
  </si>
  <si>
    <t>　滋賀県:27　京都府:28</t>
    <rPh sb="1" eb="4">
      <t>シガケン</t>
    </rPh>
    <rPh sb="8" eb="11">
      <t>キョウトフ</t>
    </rPh>
    <phoneticPr fontId="2"/>
  </si>
  <si>
    <t>　奈良県:29　和歌山県:30</t>
    <rPh sb="1" eb="4">
      <t>ナラケン</t>
    </rPh>
    <rPh sb="8" eb="12">
      <t>ワカヤマケン</t>
    </rPh>
    <phoneticPr fontId="2"/>
  </si>
  <si>
    <t>　鳥取県:31　島根県:32</t>
    <rPh sb="1" eb="4">
      <t>トットリケン</t>
    </rPh>
    <rPh sb="8" eb="11">
      <t>シマネケン</t>
    </rPh>
    <phoneticPr fontId="2"/>
  </si>
  <si>
    <t>　岡山県:33　広島県:34</t>
    <rPh sb="1" eb="4">
      <t>オカヤマケン</t>
    </rPh>
    <rPh sb="8" eb="11">
      <t>ヒロシマケン</t>
    </rPh>
    <phoneticPr fontId="2"/>
  </si>
  <si>
    <t>　山口県:35　徳島県:36</t>
    <rPh sb="1" eb="4">
      <t>ヤマグチケン</t>
    </rPh>
    <rPh sb="8" eb="11">
      <t>トクシマケン</t>
    </rPh>
    <phoneticPr fontId="2"/>
  </si>
  <si>
    <t>　香川県:37　愛媛県:38</t>
    <rPh sb="1" eb="4">
      <t>カガワケン</t>
    </rPh>
    <rPh sb="8" eb="11">
      <t>エヒメケン</t>
    </rPh>
    <phoneticPr fontId="2"/>
  </si>
  <si>
    <t>　高知県:39　福岡県:40</t>
    <rPh sb="1" eb="4">
      <t>コウチケン</t>
    </rPh>
    <rPh sb="8" eb="11">
      <t>フクオカケン</t>
    </rPh>
    <phoneticPr fontId="2"/>
  </si>
  <si>
    <t>　佐賀県:41　長崎県:42</t>
    <rPh sb="1" eb="4">
      <t>サガケン</t>
    </rPh>
    <rPh sb="8" eb="11">
      <t>ナガサキケン</t>
    </rPh>
    <phoneticPr fontId="2"/>
  </si>
  <si>
    <t>　熊本県:43　大分県:44</t>
    <rPh sb="1" eb="4">
      <t>クマモトケン</t>
    </rPh>
    <rPh sb="8" eb="11">
      <t>オオイタケン</t>
    </rPh>
    <phoneticPr fontId="2"/>
  </si>
  <si>
    <t>　宮崎県:45　鹿児島県:46</t>
    <rPh sb="1" eb="4">
      <t>ミヤザキケン</t>
    </rPh>
    <rPh sb="8" eb="12">
      <t>カゴシマケン</t>
    </rPh>
    <phoneticPr fontId="2"/>
  </si>
  <si>
    <t>　沖縄県:47</t>
    <rPh sb="1" eb="4">
      <t>オキナワケン</t>
    </rPh>
    <phoneticPr fontId="2"/>
  </si>
  <si>
    <t>北海道</t>
    <rPh sb="0" eb="3">
      <t>ホッカイドウ</t>
    </rPh>
    <phoneticPr fontId="2"/>
  </si>
  <si>
    <t>青森県</t>
    <rPh sb="0" eb="3">
      <t>アオモリケン</t>
    </rPh>
    <phoneticPr fontId="2"/>
  </si>
  <si>
    <t>岩手県</t>
    <rPh sb="0" eb="3">
      <t>イワテケン</t>
    </rPh>
    <phoneticPr fontId="2"/>
  </si>
  <si>
    <t>宮城県</t>
    <rPh sb="0" eb="3">
      <t>ミヤギケン</t>
    </rPh>
    <phoneticPr fontId="2"/>
  </si>
  <si>
    <t>秋田県</t>
    <rPh sb="0" eb="2">
      <t>アキタ</t>
    </rPh>
    <rPh sb="2" eb="3">
      <t>ケン</t>
    </rPh>
    <phoneticPr fontId="2"/>
  </si>
  <si>
    <t>山形県</t>
    <rPh sb="0" eb="3">
      <t>ヤマガタケン</t>
    </rPh>
    <phoneticPr fontId="2"/>
  </si>
  <si>
    <t>長野県</t>
    <rPh sb="0" eb="3">
      <t>ナガノケン</t>
    </rPh>
    <phoneticPr fontId="2"/>
  </si>
  <si>
    <t>静岡県</t>
    <rPh sb="0" eb="3">
      <t>シズオカケン</t>
    </rPh>
    <phoneticPr fontId="2"/>
  </si>
  <si>
    <t>富山県</t>
    <rPh sb="0" eb="3">
      <t>トヤマケン</t>
    </rPh>
    <phoneticPr fontId="2"/>
  </si>
  <si>
    <t>石川県</t>
    <rPh sb="0" eb="3">
      <t>イシカワケン</t>
    </rPh>
    <phoneticPr fontId="2"/>
  </si>
  <si>
    <t>愛知県</t>
    <rPh sb="0" eb="3">
      <t>アイチケン</t>
    </rPh>
    <phoneticPr fontId="2"/>
  </si>
  <si>
    <t>岐阜県</t>
    <rPh sb="0" eb="3">
      <t>ギフケン</t>
    </rPh>
    <phoneticPr fontId="2"/>
  </si>
  <si>
    <t>三重県</t>
    <rPh sb="0" eb="3">
      <t>ミエケン</t>
    </rPh>
    <phoneticPr fontId="2"/>
  </si>
  <si>
    <t>福井県</t>
    <rPh sb="0" eb="3">
      <t>フクイケン</t>
    </rPh>
    <phoneticPr fontId="2"/>
  </si>
  <si>
    <t>大阪府</t>
    <rPh sb="0" eb="3">
      <t>オオサカフ</t>
    </rPh>
    <phoneticPr fontId="2"/>
  </si>
  <si>
    <t>兵庫県</t>
    <rPh sb="0" eb="3">
      <t>ヒョウゴケン</t>
    </rPh>
    <phoneticPr fontId="2"/>
  </si>
  <si>
    <t>滋賀県</t>
    <rPh sb="0" eb="3">
      <t>シガケン</t>
    </rPh>
    <phoneticPr fontId="2"/>
  </si>
  <si>
    <t>京都府</t>
    <rPh sb="0" eb="3">
      <t>キョウトフ</t>
    </rPh>
    <phoneticPr fontId="2"/>
  </si>
  <si>
    <t>奈良県</t>
    <rPh sb="0" eb="3">
      <t>ナラケン</t>
    </rPh>
    <phoneticPr fontId="2"/>
  </si>
  <si>
    <t>和歌山県</t>
    <rPh sb="0" eb="4">
      <t>ワカヤマケン</t>
    </rPh>
    <phoneticPr fontId="2"/>
  </si>
  <si>
    <t>鳥取県</t>
    <rPh sb="0" eb="3">
      <t>トットリケン</t>
    </rPh>
    <phoneticPr fontId="2"/>
  </si>
  <si>
    <t>島根県</t>
    <rPh sb="0" eb="3">
      <t>シマネケン</t>
    </rPh>
    <phoneticPr fontId="2"/>
  </si>
  <si>
    <t>岡山県</t>
    <rPh sb="0" eb="3">
      <t>オカヤマケン</t>
    </rPh>
    <phoneticPr fontId="2"/>
  </si>
  <si>
    <t>広島県</t>
    <rPh sb="0" eb="3">
      <t>ヒロシマケン</t>
    </rPh>
    <phoneticPr fontId="2"/>
  </si>
  <si>
    <t>山口県</t>
    <rPh sb="0" eb="3">
      <t>ヤマグチケン</t>
    </rPh>
    <phoneticPr fontId="2"/>
  </si>
  <si>
    <t>徳島県</t>
    <rPh sb="0" eb="3">
      <t>トクシマケン</t>
    </rPh>
    <phoneticPr fontId="2"/>
  </si>
  <si>
    <t>香川県</t>
    <rPh sb="0" eb="3">
      <t>カガワケン</t>
    </rPh>
    <phoneticPr fontId="2"/>
  </si>
  <si>
    <t>愛媛県</t>
    <rPh sb="0" eb="3">
      <t>エヒメケン</t>
    </rPh>
    <phoneticPr fontId="2"/>
  </si>
  <si>
    <t>高知県</t>
    <rPh sb="0" eb="3">
      <t>コウチケン</t>
    </rPh>
    <phoneticPr fontId="2"/>
  </si>
  <si>
    <t>福岡県</t>
    <rPh sb="0" eb="3">
      <t>フクオカケン</t>
    </rPh>
    <phoneticPr fontId="2"/>
  </si>
  <si>
    <t>佐賀県</t>
    <rPh sb="0" eb="3">
      <t>サガケン</t>
    </rPh>
    <phoneticPr fontId="2"/>
  </si>
  <si>
    <t>長崎県</t>
    <rPh sb="0" eb="3">
      <t>ナガサキケン</t>
    </rPh>
    <phoneticPr fontId="2"/>
  </si>
  <si>
    <t>熊本県</t>
    <rPh sb="0" eb="3">
      <t>クマモトケン</t>
    </rPh>
    <phoneticPr fontId="2"/>
  </si>
  <si>
    <t>大分県</t>
    <rPh sb="0" eb="3">
      <t>オオイタケン</t>
    </rPh>
    <phoneticPr fontId="2"/>
  </si>
  <si>
    <t>宮崎県</t>
    <rPh sb="0" eb="3">
      <t>ミヤザキケン</t>
    </rPh>
    <phoneticPr fontId="2"/>
  </si>
  <si>
    <t>鹿児島県</t>
    <rPh sb="0" eb="4">
      <t>カゴシマケン</t>
    </rPh>
    <phoneticPr fontId="2"/>
  </si>
  <si>
    <t>沖縄県</t>
    <rPh sb="0" eb="3">
      <t>オキナワケン</t>
    </rPh>
    <phoneticPr fontId="2"/>
  </si>
  <si>
    <t>Ｃ群基本料金近似値</t>
    <rPh sb="1" eb="2">
      <t>グン</t>
    </rPh>
    <rPh sb="2" eb="4">
      <t>キホン</t>
    </rPh>
    <rPh sb="4" eb="6">
      <t>リョウキン</t>
    </rPh>
    <rPh sb="6" eb="9">
      <t>キンジチ</t>
    </rPh>
    <phoneticPr fontId="2"/>
  </si>
  <si>
    <t>修正基本料金</t>
    <phoneticPr fontId="2"/>
  </si>
  <si>
    <t>【 基 本 入 力 欄 】</t>
    <rPh sb="2" eb="3">
      <t>モト</t>
    </rPh>
    <rPh sb="4" eb="5">
      <t>ホン</t>
    </rPh>
    <rPh sb="6" eb="7">
      <t>イリ</t>
    </rPh>
    <rPh sb="8" eb="9">
      <t>チカラ</t>
    </rPh>
    <rPh sb="10" eb="11">
      <t>ラン</t>
    </rPh>
    <phoneticPr fontId="2"/>
  </si>
  <si>
    <t>入力地点数</t>
    <rPh sb="0" eb="2">
      <t>ニュウリョク</t>
    </rPh>
    <rPh sb="2" eb="4">
      <t>チテン</t>
    </rPh>
    <rPh sb="4" eb="5">
      <t>スウ</t>
    </rPh>
    <phoneticPr fontId="2"/>
  </si>
  <si>
    <t>　　差</t>
    <rPh sb="2" eb="3">
      <t>サ</t>
    </rPh>
    <phoneticPr fontId="2"/>
  </si>
  <si>
    <t>H16</t>
    <phoneticPr fontId="22"/>
  </si>
  <si>
    <t>H17</t>
    <phoneticPr fontId="22"/>
  </si>
  <si>
    <t>導管         （共同住宅）</t>
    <rPh sb="0" eb="2">
      <t>ドウカン</t>
    </rPh>
    <rPh sb="12" eb="14">
      <t>キョウドウ</t>
    </rPh>
    <rPh sb="14" eb="16">
      <t>ジュウタク</t>
    </rPh>
    <phoneticPr fontId="22"/>
  </si>
  <si>
    <t>導管          （共同住宅）</t>
    <rPh sb="0" eb="2">
      <t>ドウカン</t>
    </rPh>
    <rPh sb="13" eb="15">
      <t>キョウドウ</t>
    </rPh>
    <rPh sb="15" eb="17">
      <t>ジュウタク</t>
    </rPh>
    <phoneticPr fontId="22"/>
  </si>
  <si>
    <t>第１表</t>
    <rPh sb="0" eb="1">
      <t>ダイ</t>
    </rPh>
    <rPh sb="2" eb="3">
      <t>ヒョウ</t>
    </rPh>
    <phoneticPr fontId="20"/>
  </si>
  <si>
    <t>金　　　　　額　（円）</t>
    <rPh sb="0" eb="1">
      <t>キン</t>
    </rPh>
    <rPh sb="6" eb="7">
      <t>ガク</t>
    </rPh>
    <rPh sb="9" eb="10">
      <t>エン</t>
    </rPh>
    <phoneticPr fontId="20"/>
  </si>
  <si>
    <t>　原資の内訳</t>
    <rPh sb="1" eb="3">
      <t>ゲンシ</t>
    </rPh>
    <rPh sb="4" eb="6">
      <t>ウチワケ</t>
    </rPh>
    <phoneticPr fontId="20"/>
  </si>
  <si>
    <t xml:space="preserve">  その他</t>
    <rPh sb="4" eb="5">
      <t>タ</t>
    </rPh>
    <phoneticPr fontId="20"/>
  </si>
  <si>
    <t>　　　　　　　　　　　　　　合　　　　計　（Ａ）</t>
    <rPh sb="14" eb="15">
      <t>ゴウ</t>
    </rPh>
    <rPh sb="19" eb="20">
      <t>ケイ</t>
    </rPh>
    <phoneticPr fontId="20"/>
  </si>
  <si>
    <t>１供給地点
当たり投資額
（円）</t>
    <rPh sb="1" eb="3">
      <t>キョウキュウ</t>
    </rPh>
    <rPh sb="6" eb="7">
      <t>ア</t>
    </rPh>
    <rPh sb="9" eb="11">
      <t>トウシ</t>
    </rPh>
    <rPh sb="11" eb="12">
      <t>ガク</t>
    </rPh>
    <rPh sb="14" eb="15">
      <t>エン</t>
    </rPh>
    <phoneticPr fontId="2"/>
  </si>
  <si>
    <t>　　　　取得面積（㎡）</t>
    <phoneticPr fontId="2"/>
  </si>
  <si>
    <t>　　　　所要面積（㎡）</t>
    <phoneticPr fontId="2"/>
  </si>
  <si>
    <t>↓年次区分</t>
    <rPh sb="1" eb="3">
      <t>ネンジ</t>
    </rPh>
    <rPh sb="3" eb="5">
      <t>クブン</t>
    </rPh>
    <phoneticPr fontId="2"/>
  </si>
  <si>
    <t>二部制展開の前提条件</t>
    <phoneticPr fontId="2"/>
  </si>
  <si>
    <t>土地　　取得価額（円）</t>
    <rPh sb="7" eb="8">
      <t>ガク</t>
    </rPh>
    <phoneticPr fontId="2"/>
  </si>
  <si>
    <t>取 得 年 月 日</t>
    <phoneticPr fontId="2"/>
  </si>
  <si>
    <t>-</t>
    <phoneticPr fontId="2"/>
  </si>
  <si>
    <t>導</t>
    <phoneticPr fontId="2"/>
  </si>
  <si>
    <t>原　単　位</t>
    <rPh sb="0" eb="1">
      <t>ゲン</t>
    </rPh>
    <phoneticPr fontId="2"/>
  </si>
  <si>
    <t>配  分　基　準</t>
    <rPh sb="3" eb="4">
      <t>フン</t>
    </rPh>
    <rPh sb="5" eb="6">
      <t>モト</t>
    </rPh>
    <rPh sb="7" eb="8">
      <t>ジュン</t>
    </rPh>
    <phoneticPr fontId="2"/>
  </si>
  <si>
    <t>住所</t>
  </si>
  <si>
    <t>氏名</t>
  </si>
  <si>
    <t xml:space="preserve"> 印</t>
  </si>
  <si>
    <t xml:space="preserve">        ２．氏名を記載し、押印することに代えて、署名することができる。この場合において、</t>
    <rPh sb="10" eb="12">
      <t>シメイ</t>
    </rPh>
    <rPh sb="13" eb="15">
      <t>キサイ</t>
    </rPh>
    <rPh sb="17" eb="19">
      <t>オウイン</t>
    </rPh>
    <rPh sb="24" eb="25">
      <t>カ</t>
    </rPh>
    <rPh sb="28" eb="30">
      <t>ショメイ</t>
    </rPh>
    <rPh sb="41" eb="43">
      <t>バアイ</t>
    </rPh>
    <phoneticPr fontId="2"/>
  </si>
  <si>
    <t xml:space="preserve">            署名は必ず本人が自署するものとする。</t>
    <rPh sb="12" eb="14">
      <t>ショメイ</t>
    </rPh>
    <rPh sb="15" eb="16">
      <t>カナラ</t>
    </rPh>
    <rPh sb="17" eb="19">
      <t>ホンニン</t>
    </rPh>
    <rPh sb="20" eb="21">
      <t>ジブン</t>
    </rPh>
    <rPh sb="21" eb="22">
      <t>ショメイ</t>
    </rPh>
    <phoneticPr fontId="2"/>
  </si>
  <si>
    <t>　備考  １．用紙の大きさは、日本工業規格Ａ４とすること。</t>
    <phoneticPr fontId="2"/>
  </si>
  <si>
    <t>共同
住宅</t>
    <rPh sb="3" eb="4">
      <t>ジュウ</t>
    </rPh>
    <rPh sb="4" eb="5">
      <t>タク</t>
    </rPh>
    <phoneticPr fontId="2"/>
  </si>
  <si>
    <t>単独
住宅</t>
    <rPh sb="3" eb="4">
      <t>ジュウ</t>
    </rPh>
    <rPh sb="4" eb="5">
      <t>タク</t>
    </rPh>
    <phoneticPr fontId="2"/>
  </si>
  <si>
    <t>平成19年　　　5月7日～　　平成22年　　　3月31日</t>
    <rPh sb="0" eb="2">
      <t>ヘイセイ</t>
    </rPh>
    <rPh sb="4" eb="5">
      <t>ネン</t>
    </rPh>
    <rPh sb="9" eb="10">
      <t>ツキ</t>
    </rPh>
    <rPh sb="11" eb="12">
      <t>ヒ</t>
    </rPh>
    <rPh sb="15" eb="17">
      <t>ヘイセイ</t>
    </rPh>
    <rPh sb="19" eb="20">
      <t>ネン</t>
    </rPh>
    <rPh sb="24" eb="25">
      <t>ガツ</t>
    </rPh>
    <rPh sb="27" eb="28">
      <t>ニチ</t>
    </rPh>
    <phoneticPr fontId="2"/>
  </si>
  <si>
    <t>平成19年　　　5月7日～　　　　平成22年　　　　3月31日</t>
    <rPh sb="0" eb="2">
      <t>ヘイセイ</t>
    </rPh>
    <rPh sb="4" eb="5">
      <t>ネン</t>
    </rPh>
    <rPh sb="9" eb="10">
      <t>ツキ</t>
    </rPh>
    <rPh sb="11" eb="12">
      <t>ヒ</t>
    </rPh>
    <rPh sb="17" eb="19">
      <t>ヘイセイ</t>
    </rPh>
    <rPh sb="21" eb="22">
      <t>ネン</t>
    </rPh>
    <rPh sb="27" eb="28">
      <t>ガツ</t>
    </rPh>
    <rPh sb="30" eb="31">
      <t>ニチ</t>
    </rPh>
    <phoneticPr fontId="2"/>
  </si>
  <si>
    <t>建　物　及　び　償　却　資　産</t>
    <rPh sb="0" eb="1">
      <t>ケン</t>
    </rPh>
    <rPh sb="2" eb="3">
      <t>モノ</t>
    </rPh>
    <rPh sb="4" eb="5">
      <t>オヨ</t>
    </rPh>
    <rPh sb="8" eb="9">
      <t>ショウ</t>
    </rPh>
    <rPh sb="10" eb="11">
      <t>キャク</t>
    </rPh>
    <rPh sb="12" eb="13">
      <t>シ</t>
    </rPh>
    <rPh sb="14" eb="15">
      <t>サン</t>
    </rPh>
    <phoneticPr fontId="2"/>
  </si>
  <si>
    <t xml:space="preserve">供給地点数
</t>
    <rPh sb="0" eb="2">
      <t>キョウキュウ</t>
    </rPh>
    <phoneticPr fontId="2"/>
  </si>
  <si>
    <t>事業報酬額中の自己
資本相当分比率(k1)</t>
    <rPh sb="0" eb="2">
      <t>ジギョウ</t>
    </rPh>
    <rPh sb="2" eb="4">
      <t>ホウシュウ</t>
    </rPh>
    <rPh sb="4" eb="5">
      <t>ガク</t>
    </rPh>
    <rPh sb="5" eb="6">
      <t>ナカ</t>
    </rPh>
    <rPh sb="7" eb="9">
      <t>ジコ</t>
    </rPh>
    <phoneticPr fontId="2"/>
  </si>
  <si>
    <t>固定資産税</t>
    <rPh sb="4" eb="5">
      <t>ゼイ</t>
    </rPh>
    <phoneticPr fontId="2"/>
  </si>
  <si>
    <t>円／㎥</t>
    <phoneticPr fontId="2"/>
  </si>
  <si>
    <t>標準所要面積の範囲内の面積
に係る固定資産税評価額(f1)</t>
    <rPh sb="0" eb="2">
      <t>ヒョウジュン</t>
    </rPh>
    <rPh sb="2" eb="4">
      <t>ショヨウ</t>
    </rPh>
    <rPh sb="4" eb="6">
      <t>メンセキ</t>
    </rPh>
    <rPh sb="7" eb="10">
      <t>ハンイナイ</t>
    </rPh>
    <rPh sb="11" eb="13">
      <t>メンセキ</t>
    </rPh>
    <rPh sb="15" eb="16">
      <t>カカ</t>
    </rPh>
    <phoneticPr fontId="2"/>
  </si>
  <si>
    <t>原料費、労務費、修繕費、固定資産税、
道路占用料及び減価償却費の合計額(j1)</t>
    <rPh sb="24" eb="25">
      <t>オヨ</t>
    </rPh>
    <phoneticPr fontId="2"/>
  </si>
  <si>
    <t>×　法人税係数(k2)　＝　法人税(K①)</t>
    <rPh sb="2" eb="5">
      <t>ホウジンゼイ</t>
    </rPh>
    <rPh sb="5" eb="7">
      <t>ケイスウ</t>
    </rPh>
    <phoneticPr fontId="2"/>
  </si>
  <si>
    <t>建                物</t>
    <phoneticPr fontId="2"/>
  </si>
  <si>
    <t>構       築       物</t>
    <phoneticPr fontId="2"/>
  </si>
  <si>
    <t>集    合    装    置</t>
    <phoneticPr fontId="2"/>
  </si>
  <si>
    <t>容                器</t>
    <phoneticPr fontId="2"/>
  </si>
  <si>
    <t xml:space="preserve">取得価額              </t>
    <rPh sb="3" eb="4">
      <t>ガク</t>
    </rPh>
    <phoneticPr fontId="2"/>
  </si>
  <si>
    <t xml:space="preserve">土地投資額         </t>
    <rPh sb="0" eb="2">
      <t>トチ</t>
    </rPh>
    <phoneticPr fontId="2"/>
  </si>
  <si>
    <t>（道路占用料）</t>
    <phoneticPr fontId="2"/>
  </si>
  <si>
    <t>×　諸経費率(j2)　＝　その他経費(J)</t>
    <phoneticPr fontId="2"/>
  </si>
  <si>
    <t>（法人税）</t>
    <phoneticPr fontId="2"/>
  </si>
  <si>
    <t>×地方税法に定める標準税率(f2)＝土地に係る固定資産税額(F①)</t>
    <rPh sb="1" eb="4">
      <t>チホウゼイ</t>
    </rPh>
    <rPh sb="4" eb="5">
      <t>ホウ</t>
    </rPh>
    <rPh sb="6" eb="7">
      <t>サダ</t>
    </rPh>
    <rPh sb="9" eb="11">
      <t>ヒョウジュン</t>
    </rPh>
    <rPh sb="11" eb="13">
      <t>ゼイリツ</t>
    </rPh>
    <rPh sb="18" eb="20">
      <t>トチ</t>
    </rPh>
    <rPh sb="21" eb="22">
      <t>カカワ</t>
    </rPh>
    <phoneticPr fontId="2"/>
  </si>
  <si>
    <t>kg/年</t>
    <rPh sb="3" eb="4">
      <t>ネン</t>
    </rPh>
    <phoneticPr fontId="2"/>
  </si>
  <si>
    <t>　導管取替に係る投資額(B④+B⑤)　×　修繕費率(e2)　＝　修繕費(E②)</t>
    <rPh sb="1" eb="3">
      <t>ドウカン</t>
    </rPh>
    <rPh sb="3" eb="5">
      <t>トリカエ</t>
    </rPh>
    <rPh sb="6" eb="7">
      <t>カカ</t>
    </rPh>
    <rPh sb="8" eb="10">
      <t>トウシ</t>
    </rPh>
    <rPh sb="10" eb="11">
      <t>ガク</t>
    </rPh>
    <phoneticPr fontId="2"/>
  </si>
  <si>
    <t>　１人当たり年間平均労務費(d4)　×　所要人員数(d3)　＝　労務費(D)</t>
    <rPh sb="2" eb="3">
      <t>ニン</t>
    </rPh>
    <rPh sb="3" eb="4">
      <t>ア</t>
    </rPh>
    <rPh sb="20" eb="22">
      <t>ショヨウ</t>
    </rPh>
    <rPh sb="22" eb="24">
      <t>ジンイン</t>
    </rPh>
    <rPh sb="24" eb="25">
      <t>スウ</t>
    </rPh>
    <phoneticPr fontId="2"/>
  </si>
  <si>
    <t>　原料購入単価(c3)　×　原料の数量(c2)　＝　原料費(C）</t>
    <rPh sb="1" eb="3">
      <t>ゲンリョウ</t>
    </rPh>
    <rPh sb="3" eb="5">
      <t>コウニュウ</t>
    </rPh>
    <rPh sb="5" eb="7">
      <t>タンカ</t>
    </rPh>
    <rPh sb="14" eb="16">
      <t>ゲンリョウ</t>
    </rPh>
    <rPh sb="17" eb="19">
      <t>スウリョウ</t>
    </rPh>
    <rPh sb="26" eb="29">
      <t>ゲンリョウヒ</t>
    </rPh>
    <phoneticPr fontId="2"/>
  </si>
  <si>
    <t>　ガスの販売量(A)　÷　産気率(c1)　＝　原料の数量(c2)　　</t>
    <phoneticPr fontId="2"/>
  </si>
  <si>
    <t>　建物及び償却資産(車両を除く。)投資額(B⑦-B⑥)　×　償却率(i1)　＝　減価償却費(I①)</t>
    <rPh sb="1" eb="3">
      <t>タテモノ</t>
    </rPh>
    <rPh sb="3" eb="4">
      <t>オヨ</t>
    </rPh>
    <rPh sb="17" eb="19">
      <t>トウシ</t>
    </rPh>
    <rPh sb="19" eb="20">
      <t>ガク</t>
    </rPh>
    <phoneticPr fontId="2"/>
  </si>
  <si>
    <t>特定製造所別</t>
  </si>
  <si>
    <t>投資額内訳</t>
  </si>
  <si>
    <t>(1)原料費</t>
    <phoneticPr fontId="2"/>
  </si>
  <si>
    <t>　１供給地点当たり所要人数(d1)　×　供給地点数(d2)　＝　所要人員数(d3)</t>
    <rPh sb="2" eb="4">
      <t>キョウキュウ</t>
    </rPh>
    <rPh sb="6" eb="7">
      <t>ア</t>
    </rPh>
    <rPh sb="9" eb="11">
      <t>ショヨウ</t>
    </rPh>
    <rPh sb="11" eb="13">
      <t>ニンズウ</t>
    </rPh>
    <phoneticPr fontId="2"/>
  </si>
  <si>
    <t>※投資がある場合、年度毎に左詰め入力（地点数はC13～C16の内数）</t>
    <rPh sb="1" eb="3">
      <t>トウシ</t>
    </rPh>
    <rPh sb="6" eb="8">
      <t>バアイ</t>
    </rPh>
    <rPh sb="9" eb="11">
      <t>ネンド</t>
    </rPh>
    <rPh sb="11" eb="12">
      <t>ゴト</t>
    </rPh>
    <rPh sb="13" eb="15">
      <t>ヒダリヅ</t>
    </rPh>
    <rPh sb="16" eb="18">
      <t>ニュウリョク</t>
    </rPh>
    <rPh sb="19" eb="21">
      <t>チテン</t>
    </rPh>
    <rPh sb="21" eb="22">
      <t>スウ</t>
    </rPh>
    <rPh sb="31" eb="32">
      <t>ウチ</t>
    </rPh>
    <rPh sb="32" eb="33">
      <t>スウ</t>
    </rPh>
    <phoneticPr fontId="2"/>
  </si>
  <si>
    <t>通常 0</t>
  </si>
  <si>
    <t>合  　計  （総原価）　</t>
    <rPh sb="8" eb="9">
      <t>ソウ</t>
    </rPh>
    <rPh sb="9" eb="11">
      <t>ゲンカ</t>
    </rPh>
    <phoneticPr fontId="2"/>
  </si>
  <si>
    <t>原　　料　　費</t>
    <phoneticPr fontId="2"/>
  </si>
  <si>
    <t>事  業  税</t>
    <phoneticPr fontId="2"/>
  </si>
  <si>
    <t>減 価 償 却 費</t>
    <phoneticPr fontId="2"/>
  </si>
  <si>
    <t>そ の 他 経 費</t>
    <phoneticPr fontId="2"/>
  </si>
  <si>
    <t>小　　　  　計</t>
    <phoneticPr fontId="2"/>
  </si>
  <si>
    <t>事 業 報 酬 額</t>
    <phoneticPr fontId="2"/>
  </si>
  <si>
    <t>法 　人　 税</t>
    <phoneticPr fontId="2"/>
  </si>
  <si>
    <t>ガ   ス   の   販   売   量</t>
    <phoneticPr fontId="2"/>
  </si>
  <si>
    <t>需　要　家　原　価</t>
    <phoneticPr fontId="2"/>
  </si>
  <si>
    <t>供給約款料金原価（円）</t>
    <rPh sb="0" eb="1">
      <t>トモ</t>
    </rPh>
    <rPh sb="1" eb="2">
      <t>キュウ</t>
    </rPh>
    <rPh sb="2" eb="3">
      <t>ヤク</t>
    </rPh>
    <rPh sb="3" eb="4">
      <t>カン</t>
    </rPh>
    <rPh sb="4" eb="5">
      <t>リョウ</t>
    </rPh>
    <rPh sb="5" eb="6">
      <t>カネ</t>
    </rPh>
    <rPh sb="6" eb="7">
      <t>ハラ</t>
    </rPh>
    <rPh sb="7" eb="8">
      <t>アタイ</t>
    </rPh>
    <rPh sb="9" eb="10">
      <t>エン</t>
    </rPh>
    <phoneticPr fontId="2"/>
  </si>
  <si>
    <t>区　　　分</t>
    <phoneticPr fontId="2"/>
  </si>
  <si>
    <t>収入過不足分(%)</t>
    <rPh sb="0" eb="2">
      <t>シュウニュウ</t>
    </rPh>
    <rPh sb="5" eb="6">
      <t>ブン</t>
    </rPh>
    <phoneticPr fontId="2"/>
  </si>
  <si>
    <t>　建物及び償却資産に
　係る課税標準額(f4)</t>
    <rPh sb="1" eb="3">
      <t>タテモノ</t>
    </rPh>
    <rPh sb="3" eb="4">
      <t>オヨ</t>
    </rPh>
    <rPh sb="5" eb="7">
      <t>ショウキャク</t>
    </rPh>
    <rPh sb="7" eb="9">
      <t>シサン</t>
    </rPh>
    <rPh sb="12" eb="13">
      <t>カカ</t>
    </rPh>
    <phoneticPr fontId="2"/>
  </si>
  <si>
    <t>租税課金</t>
    <rPh sb="2" eb="3">
      <t>カ</t>
    </rPh>
    <rPh sb="3" eb="4">
      <t>キン</t>
    </rPh>
    <phoneticPr fontId="2"/>
  </si>
  <si>
    <t>住 　民　 税
（法人税割に限る。）</t>
    <rPh sb="9" eb="12">
      <t>ホウジンゼイ</t>
    </rPh>
    <rPh sb="12" eb="13">
      <t>ワ</t>
    </rPh>
    <rPh sb="14" eb="15">
      <t>カギ</t>
    </rPh>
    <phoneticPr fontId="2"/>
  </si>
  <si>
    <t>有形固定資産投資額</t>
    <phoneticPr fontId="2"/>
  </si>
  <si>
    <t>取得面積 　　　　　</t>
    <phoneticPr fontId="2"/>
  </si>
  <si>
    <t xml:space="preserve">所要面積               </t>
    <phoneticPr fontId="2"/>
  </si>
  <si>
    <t>-</t>
    <phoneticPr fontId="2"/>
  </si>
  <si>
    <t>　 合　　　計           B  (＝B①＋B⑦)</t>
    <phoneticPr fontId="2"/>
  </si>
  <si>
    <t>㎥／月</t>
    <phoneticPr fontId="2"/>
  </si>
  <si>
    <t>㎥／年</t>
    <phoneticPr fontId="2"/>
  </si>
  <si>
    <t>メ    ー    タ    ー</t>
    <phoneticPr fontId="2"/>
  </si>
  <si>
    <t>-</t>
    <phoneticPr fontId="2"/>
  </si>
  <si>
    <t>備　   　　　 　　品</t>
    <phoneticPr fontId="2"/>
  </si>
  <si>
    <t xml:space="preserve"> 小　　　計        B⑦(＝B②＋B③)</t>
    <phoneticPr fontId="2"/>
  </si>
  <si>
    <t>ガ ス の 販 売 量</t>
    <phoneticPr fontId="2"/>
  </si>
  <si>
    <t>　１供給地点当たり月平均販売量(a1)　×　供給地点数(a2)　×　１２　= 　ガスの販売量(A)</t>
    <phoneticPr fontId="2"/>
  </si>
  <si>
    <t>車　            両(B⑥)</t>
    <phoneticPr fontId="2"/>
  </si>
  <si>
    <t xml:space="preserve"> 投資額①計       (B②)</t>
    <phoneticPr fontId="2"/>
  </si>
  <si>
    <t xml:space="preserve"> 投資額②計　     (B③)</t>
    <phoneticPr fontId="2"/>
  </si>
  <si>
    <t xml:space="preserve">  (b3×ｂ4)</t>
    <phoneticPr fontId="2"/>
  </si>
  <si>
    <t>　  　  (b4)</t>
    <phoneticPr fontId="2"/>
  </si>
  <si>
    <t>　  　  (b2)</t>
    <phoneticPr fontId="2"/>
  </si>
  <si>
    <t>　   　 (b1)</t>
    <phoneticPr fontId="2"/>
  </si>
  <si>
    <t>備考</t>
    <phoneticPr fontId="2"/>
  </si>
  <si>
    <t>1㎡当り取得価額
(b2/b1)　　　    　 (b3)</t>
    <rPh sb="2" eb="3">
      <t>アタ</t>
    </rPh>
    <rPh sb="4" eb="6">
      <t>シュトク</t>
    </rPh>
    <rPh sb="6" eb="8">
      <t>カガク</t>
    </rPh>
    <phoneticPr fontId="2"/>
  </si>
  <si>
    <t>㎥/年</t>
    <phoneticPr fontId="2"/>
  </si>
  <si>
    <t>㎥/kg</t>
    <phoneticPr fontId="2"/>
  </si>
  <si>
    <t>(2)労務費</t>
    <phoneticPr fontId="2"/>
  </si>
  <si>
    <t>(3)修繕費</t>
    <phoneticPr fontId="2"/>
  </si>
  <si>
    <t>　修繕費（Ｅ）　　　　　　　　　　(E①+E②)</t>
    <phoneticPr fontId="2"/>
  </si>
  <si>
    <t>平成16年
1月1日～
平成19年
5月6日　　　　　　</t>
    <rPh sb="12" eb="14">
      <t>ヘイセイ</t>
    </rPh>
    <rPh sb="16" eb="17">
      <t>ネン</t>
    </rPh>
    <rPh sb="19" eb="20">
      <t>ツキ</t>
    </rPh>
    <rPh sb="21" eb="22">
      <t>ヒ</t>
    </rPh>
    <phoneticPr fontId="2"/>
  </si>
  <si>
    <t>平成16年　　　1月1日～ 平成19年　　　5月6日　</t>
    <rPh sb="0" eb="2">
      <t>ヘイセイ</t>
    </rPh>
    <rPh sb="4" eb="5">
      <t>ネン</t>
    </rPh>
    <rPh sb="9" eb="10">
      <t>ツキ</t>
    </rPh>
    <rPh sb="11" eb="12">
      <t>ヒ</t>
    </rPh>
    <rPh sb="14" eb="16">
      <t>ヘイセイ</t>
    </rPh>
    <rPh sb="18" eb="19">
      <t>ネン</t>
    </rPh>
    <rPh sb="23" eb="24">
      <t>ガツ</t>
    </rPh>
    <rPh sb="25" eb="26">
      <t>ニチ</t>
    </rPh>
    <phoneticPr fontId="2"/>
  </si>
  <si>
    <t>(4)租税課金</t>
    <phoneticPr fontId="2"/>
  </si>
  <si>
    <t>　固定資産税(F)　　　　　　　　　　(F①+F②)</t>
    <phoneticPr fontId="2"/>
  </si>
  <si>
    <t>（事業税）</t>
    <phoneticPr fontId="2"/>
  </si>
  <si>
    <t>　車両投資額(B⑥)　×　償却率(i2)　＝　減価償却費(I②)</t>
    <phoneticPr fontId="2"/>
  </si>
  <si>
    <t>　減価償却費(I)　　　　　　　　　　(I①+I②)</t>
    <phoneticPr fontId="2"/>
  </si>
  <si>
    <t>　有形固定資産投資額(B)　×　標準報酬率(l1)　＝　事業報酬額(L)</t>
    <phoneticPr fontId="2"/>
  </si>
  <si>
    <t>建物及び償却資産に
係る課税標準額(f4)</t>
    <phoneticPr fontId="2"/>
  </si>
  <si>
    <t>　建物及び償却資産
　投資額(B②×1/2）</t>
    <rPh sb="1" eb="2">
      <t>ケン</t>
    </rPh>
    <rPh sb="2" eb="3">
      <t>ブツ</t>
    </rPh>
    <rPh sb="3" eb="4">
      <t>オヨ</t>
    </rPh>
    <rPh sb="5" eb="7">
      <t>ショウキャク</t>
    </rPh>
    <rPh sb="7" eb="9">
      <t>シサン</t>
    </rPh>
    <rPh sb="11" eb="13">
      <t>トウシ</t>
    </rPh>
    <rPh sb="13" eb="14">
      <t>ガク</t>
    </rPh>
    <phoneticPr fontId="2"/>
  </si>
  <si>
    <t>+</t>
  </si>
  <si>
    <r>
      <t>(B③</t>
    </r>
    <r>
      <rPr>
        <sz val="12"/>
        <rFont val="ＭＳ 明朝"/>
        <family val="1"/>
        <charset val="128"/>
      </rPr>
      <t xml:space="preserve"> </t>
    </r>
    <r>
      <rPr>
        <sz val="12"/>
        <rFont val="ＭＳ 明朝"/>
        <family val="1"/>
        <charset val="128"/>
      </rPr>
      <t>×</t>
    </r>
    <r>
      <rPr>
        <sz val="12"/>
        <rFont val="ＭＳ 明朝"/>
        <family val="1"/>
        <charset val="128"/>
      </rPr>
      <t xml:space="preserve"> </t>
    </r>
    <r>
      <rPr>
        <sz val="12"/>
        <rFont val="ＭＳ 明朝"/>
        <family val="1"/>
        <charset val="128"/>
      </rPr>
      <t>軽減係数(f3)</t>
    </r>
    <r>
      <rPr>
        <sz val="12"/>
        <rFont val="ＭＳ 明朝"/>
        <family val="1"/>
        <charset val="128"/>
      </rPr>
      <t xml:space="preserve"> </t>
    </r>
    <r>
      <rPr>
        <sz val="12"/>
        <rFont val="ＭＳ 明朝"/>
        <family val="1"/>
        <charset val="128"/>
      </rPr>
      <t>×</t>
    </r>
    <r>
      <rPr>
        <sz val="12"/>
        <rFont val="ＭＳ 明朝"/>
        <family val="1"/>
        <charset val="128"/>
      </rPr>
      <t xml:space="preserve"> </t>
    </r>
    <r>
      <rPr>
        <sz val="12"/>
        <rFont val="ＭＳ 明朝"/>
        <family val="1"/>
        <charset val="128"/>
      </rPr>
      <t>1/2)</t>
    </r>
    <r>
      <rPr>
        <sz val="12"/>
        <rFont val="ＭＳ 明朝"/>
        <family val="1"/>
        <charset val="128"/>
      </rPr>
      <t xml:space="preserve"> </t>
    </r>
    <r>
      <rPr>
        <sz val="12"/>
        <rFont val="ＭＳ 明朝"/>
        <family val="1"/>
        <charset val="128"/>
      </rPr>
      <t xml:space="preserve">＝ </t>
    </r>
    <phoneticPr fontId="2"/>
  </si>
  <si>
    <t xml:space="preserve">  建物及び償却資産に
  係る固定資産税(F②)</t>
    <phoneticPr fontId="2"/>
  </si>
  <si>
    <t>×　地方税法に定める標準税率(f2)　＝　</t>
    <phoneticPr fontId="2"/>
  </si>
  <si>
    <t>項　　　目</t>
    <phoneticPr fontId="2"/>
  </si>
  <si>
    <t>金           額(円)</t>
    <phoneticPr fontId="2"/>
  </si>
  <si>
    <t>構   成   比(%)</t>
    <phoneticPr fontId="2"/>
  </si>
  <si>
    <t>労　　務　　費</t>
    <phoneticPr fontId="2"/>
  </si>
  <si>
    <t>修　　繕　　費</t>
    <phoneticPr fontId="2"/>
  </si>
  <si>
    <t>表－４－１　１供給地点当たり建物及び償却資産投資額の標準投資額</t>
    <rPh sb="14" eb="16">
      <t>タテモノ</t>
    </rPh>
    <rPh sb="16" eb="17">
      <t>オヨ</t>
    </rPh>
    <rPh sb="18" eb="20">
      <t>ショウキャク</t>
    </rPh>
    <rPh sb="20" eb="22">
      <t>シサン</t>
    </rPh>
    <rPh sb="26" eb="28">
      <t>ヒョウジュン</t>
    </rPh>
    <rPh sb="28" eb="30">
      <t>トウシ</t>
    </rPh>
    <rPh sb="30" eb="31">
      <t>ガク</t>
    </rPh>
    <phoneticPr fontId="2"/>
  </si>
  <si>
    <t>標準値</t>
    <rPh sb="0" eb="3">
      <t>ヒョウジュンチ</t>
    </rPh>
    <phoneticPr fontId="2"/>
  </si>
  <si>
    <t>表－６　　都道府県別の平均年間労務費の標準値（１人当たり）</t>
    <rPh sb="5" eb="9">
      <t>トドウフケン</t>
    </rPh>
    <rPh sb="9" eb="10">
      <t>ベツ</t>
    </rPh>
    <rPh sb="13" eb="15">
      <t>ネンカン</t>
    </rPh>
    <rPh sb="19" eb="22">
      <t>ヒョウジュンチ</t>
    </rPh>
    <rPh sb="23" eb="25">
      <t>ヒトリ</t>
    </rPh>
    <rPh sb="25" eb="26">
      <t>ア</t>
    </rPh>
    <phoneticPr fontId="2"/>
  </si>
  <si>
    <t>表－７　１供給地点当たりの道路占用料の額</t>
    <rPh sb="5" eb="7">
      <t>キョウキュウ</t>
    </rPh>
    <rPh sb="7" eb="9">
      <t>チテン</t>
    </rPh>
    <rPh sb="9" eb="10">
      <t>ア</t>
    </rPh>
    <rPh sb="19" eb="20">
      <t>ガク</t>
    </rPh>
    <phoneticPr fontId="2"/>
  </si>
  <si>
    <t>固定資産税(混在）</t>
    <rPh sb="0" eb="2">
      <t>コテイ</t>
    </rPh>
    <rPh sb="2" eb="5">
      <t>シサンゼイ</t>
    </rPh>
    <rPh sb="6" eb="8">
      <t>コンザイ</t>
    </rPh>
    <phoneticPr fontId="2"/>
  </si>
  <si>
    <t>甲地</t>
    <phoneticPr fontId="2"/>
  </si>
  <si>
    <t>乙地</t>
    <phoneticPr fontId="2"/>
  </si>
  <si>
    <t>丙地</t>
    <phoneticPr fontId="2"/>
  </si>
  <si>
    <t>㎥／年</t>
    <phoneticPr fontId="2"/>
  </si>
  <si>
    <t>年  間  販  売  量  比</t>
    <phoneticPr fontId="2"/>
  </si>
  <si>
    <t>製造需要原価固定費</t>
    <phoneticPr fontId="2"/>
  </si>
  <si>
    <t>ピーク月販売量比</t>
    <phoneticPr fontId="2"/>
  </si>
  <si>
    <t>供給需要原価固定費</t>
    <phoneticPr fontId="2"/>
  </si>
  <si>
    <t>延メーター通過量比</t>
    <phoneticPr fontId="2"/>
  </si>
  <si>
    <t>製造需要原価</t>
    <phoneticPr fontId="2"/>
  </si>
  <si>
    <t>供給需要原価</t>
    <phoneticPr fontId="2"/>
  </si>
  <si>
    <t>需要家原価</t>
    <phoneticPr fontId="2"/>
  </si>
  <si>
    <t>原　　料　　費</t>
    <phoneticPr fontId="2"/>
  </si>
  <si>
    <t>機　 能 　別 　原　 価</t>
    <phoneticPr fontId="2"/>
  </si>
  <si>
    <t>供給約款料金原価（ａ）
（円）</t>
    <rPh sb="0" eb="2">
      <t>キョウキュウ</t>
    </rPh>
    <rPh sb="2" eb="4">
      <t>ヤッカン</t>
    </rPh>
    <rPh sb="4" eb="6">
      <t>リョウキン</t>
    </rPh>
    <rPh sb="6" eb="8">
      <t>ゲンカ</t>
    </rPh>
    <phoneticPr fontId="22"/>
  </si>
  <si>
    <r>
      <t>ガスの販売量</t>
    </r>
    <r>
      <rPr>
        <sz val="12"/>
        <rFont val="ＭＳ 明朝"/>
        <family val="1"/>
        <charset val="128"/>
      </rPr>
      <t>（ｂ）
（㎥）</t>
    </r>
    <rPh sb="3" eb="5">
      <t>ハンバイ</t>
    </rPh>
    <rPh sb="5" eb="6">
      <t>リョウ</t>
    </rPh>
    <phoneticPr fontId="22"/>
  </si>
  <si>
    <r>
      <t>平均単価</t>
    </r>
    <r>
      <rPr>
        <sz val="12"/>
        <rFont val="ＭＳ 明朝"/>
        <family val="1"/>
        <charset val="128"/>
      </rPr>
      <t>（ａ／ｂ）
（円／㎥）</t>
    </r>
    <rPh sb="0" eb="2">
      <t>ヘイキン</t>
    </rPh>
    <rPh sb="2" eb="4">
      <t>タンカ</t>
    </rPh>
    <phoneticPr fontId="22"/>
  </si>
  <si>
    <t>項　　　　　目</t>
    <phoneticPr fontId="2"/>
  </si>
  <si>
    <t>（参考４）供給約款料金各需要群の複数二部料金表</t>
    <rPh sb="1" eb="3">
      <t>サンコウ</t>
    </rPh>
    <rPh sb="5" eb="7">
      <t>キョウキュウ</t>
    </rPh>
    <rPh sb="7" eb="9">
      <t>ヤッカン</t>
    </rPh>
    <phoneticPr fontId="2"/>
  </si>
  <si>
    <t>（参考２）供給約款料金各需要群の原価どおりの複数二部料金の設定</t>
    <rPh sb="1" eb="3">
      <t>サンコウ</t>
    </rPh>
    <rPh sb="5" eb="7">
      <t>キョウキュウ</t>
    </rPh>
    <rPh sb="7" eb="9">
      <t>ヤッカン</t>
    </rPh>
    <rPh sb="9" eb="11">
      <t>リョウキン</t>
    </rPh>
    <phoneticPr fontId="2"/>
  </si>
  <si>
    <t>(単位:円)</t>
    <rPh sb="1" eb="3">
      <t>タンイ</t>
    </rPh>
    <phoneticPr fontId="2"/>
  </si>
  <si>
    <t>定率</t>
    <rPh sb="0" eb="2">
      <t>テイリツ</t>
    </rPh>
    <phoneticPr fontId="2"/>
  </si>
  <si>
    <t>定額</t>
    <rPh sb="0" eb="2">
      <t>テイガク</t>
    </rPh>
    <phoneticPr fontId="2"/>
  </si>
  <si>
    <t>　 法人税率</t>
    <rPh sb="2" eb="4">
      <t>ホウジン</t>
    </rPh>
    <rPh sb="4" eb="6">
      <t>ゼイリツ</t>
    </rPh>
    <phoneticPr fontId="2"/>
  </si>
  <si>
    <t>消費税課税事業者？YES:1/NO:0</t>
    <phoneticPr fontId="2"/>
  </si>
  <si>
    <t>住民税算定用法人税係数</t>
    <rPh sb="0" eb="3">
      <t>ジュウミンゼイ</t>
    </rPh>
    <rPh sb="3" eb="5">
      <t>サンテイ</t>
    </rPh>
    <rPh sb="5" eb="6">
      <t>ヨウ</t>
    </rPh>
    <rPh sb="6" eb="9">
      <t>ホウジンゼイ</t>
    </rPh>
    <rPh sb="9" eb="11">
      <t>ケイスウ</t>
    </rPh>
    <phoneticPr fontId="2"/>
  </si>
  <si>
    <t>固定資産税</t>
    <rPh sb="0" eb="2">
      <t>コテイ</t>
    </rPh>
    <rPh sb="2" eb="5">
      <t>シサンゼイ</t>
    </rPh>
    <phoneticPr fontId="2"/>
  </si>
  <si>
    <t>土地</t>
    <rPh sb="0" eb="2">
      <t>トチ</t>
    </rPh>
    <phoneticPr fontId="2"/>
  </si>
  <si>
    <t>建物他</t>
    <rPh sb="0" eb="2">
      <t>タテモノ</t>
    </rPh>
    <rPh sb="2" eb="3">
      <t>ホカ</t>
    </rPh>
    <phoneticPr fontId="2"/>
  </si>
  <si>
    <t>事業税率</t>
    <rPh sb="0" eb="3">
      <t>ジギョウゼイ</t>
    </rPh>
    <rPh sb="3" eb="4">
      <t>リツ</t>
    </rPh>
    <phoneticPr fontId="2"/>
  </si>
  <si>
    <t>事業報酬額自己資本比率</t>
    <rPh sb="0" eb="2">
      <t>ジギョウ</t>
    </rPh>
    <rPh sb="2" eb="4">
      <t>ホウシュウ</t>
    </rPh>
    <rPh sb="4" eb="5">
      <t>ガク</t>
    </rPh>
    <rPh sb="5" eb="7">
      <t>ジコ</t>
    </rPh>
    <rPh sb="7" eb="9">
      <t>シホン</t>
    </rPh>
    <rPh sb="9" eb="11">
      <t>ヒリツ</t>
    </rPh>
    <phoneticPr fontId="2"/>
  </si>
  <si>
    <t>法人税係数</t>
    <rPh sb="0" eb="3">
      <t>ホウジンゼイ</t>
    </rPh>
    <rPh sb="3" eb="5">
      <t>ケイスウ</t>
    </rPh>
    <phoneticPr fontId="2"/>
  </si>
  <si>
    <t>標準税率</t>
    <rPh sb="0" eb="2">
      <t>ヒョウジュン</t>
    </rPh>
    <rPh sb="2" eb="4">
      <t>ゼイリツ</t>
    </rPh>
    <phoneticPr fontId="2"/>
  </si>
  <si>
    <t>項目</t>
    <rPh sb="0" eb="2">
      <t>コウモク</t>
    </rPh>
    <phoneticPr fontId="2"/>
  </si>
  <si>
    <t>　　　容器</t>
    <rPh sb="3" eb="5">
      <t>ヨウキ</t>
    </rPh>
    <phoneticPr fontId="2"/>
  </si>
  <si>
    <t>↓原料費（㎥換算）</t>
    <phoneticPr fontId="2"/>
  </si>
  <si>
    <t>　１供給地点当たりの占用料(h1)　×　供給地点数(h2)　＝　道路占用料(H)</t>
    <rPh sb="6" eb="7">
      <t>トウ</t>
    </rPh>
    <rPh sb="11" eb="12">
      <t>ヨウ</t>
    </rPh>
    <phoneticPr fontId="2"/>
  </si>
  <si>
    <t>年間労務費（円）実績または係数選択</t>
    <rPh sb="8" eb="10">
      <t>ジッセキ</t>
    </rPh>
    <rPh sb="13" eb="15">
      <t>ケイスウ</t>
    </rPh>
    <rPh sb="15" eb="17">
      <t>センタク</t>
    </rPh>
    <phoneticPr fontId="2"/>
  </si>
  <si>
    <t>総括原価方式による料金引下げ原資等整理表</t>
    <rPh sb="0" eb="2">
      <t>ソウカツ</t>
    </rPh>
    <rPh sb="2" eb="4">
      <t>ゲンカ</t>
    </rPh>
    <rPh sb="4" eb="6">
      <t>ホウシキ</t>
    </rPh>
    <rPh sb="9" eb="11">
      <t>リョウキン</t>
    </rPh>
    <rPh sb="11" eb="13">
      <t>ヒキサ</t>
    </rPh>
    <rPh sb="14" eb="16">
      <t>ゲンシ</t>
    </rPh>
    <rPh sb="16" eb="17">
      <t>ナド</t>
    </rPh>
    <rPh sb="17" eb="19">
      <t>セイリ</t>
    </rPh>
    <rPh sb="19" eb="20">
      <t>ヒョウ</t>
    </rPh>
    <phoneticPr fontId="20"/>
  </si>
  <si>
    <t>届出上限値方式による料金引下げ原資等整理表</t>
    <rPh sb="0" eb="2">
      <t>トドケデ</t>
    </rPh>
    <rPh sb="2" eb="5">
      <t>ジョウゲンチ</t>
    </rPh>
    <rPh sb="5" eb="7">
      <t>ホウシキ</t>
    </rPh>
    <rPh sb="10" eb="12">
      <t>リョウキン</t>
    </rPh>
    <rPh sb="12" eb="14">
      <t>ヒキサ</t>
    </rPh>
    <rPh sb="15" eb="17">
      <t>ゲンシ</t>
    </rPh>
    <rPh sb="17" eb="18">
      <t>ナド</t>
    </rPh>
    <rPh sb="18" eb="20">
      <t>セイリ</t>
    </rPh>
    <rPh sb="20" eb="21">
      <t>ヒョウ</t>
    </rPh>
    <phoneticPr fontId="20"/>
  </si>
  <si>
    <t>様式第３　（第１３条、第１４条関係）</t>
    <rPh sb="0" eb="2">
      <t>ヨウシキ</t>
    </rPh>
    <rPh sb="2" eb="3">
      <t>ダイ</t>
    </rPh>
    <phoneticPr fontId="20"/>
  </si>
  <si>
    <t>第２表</t>
    <rPh sb="0" eb="1">
      <t>ダイ</t>
    </rPh>
    <rPh sb="2" eb="3">
      <t>ヒョウ</t>
    </rPh>
    <phoneticPr fontId="20"/>
  </si>
  <si>
    <t>届出総原価</t>
    <rPh sb="0" eb="2">
      <t>トドケデ</t>
    </rPh>
    <rPh sb="2" eb="3">
      <t>ソウ</t>
    </rPh>
    <rPh sb="3" eb="5">
      <t>ゲンカ</t>
    </rPh>
    <phoneticPr fontId="22"/>
  </si>
  <si>
    <t>（財務体質強化原資）</t>
    <rPh sb="1" eb="9">
      <t>ザイムタイシツキョウカゲンシ</t>
    </rPh>
    <phoneticPr fontId="20"/>
  </si>
  <si>
    <t>（　　　　 　　　　　　）</t>
    <phoneticPr fontId="22"/>
  </si>
  <si>
    <t>事 業 報 酬 額</t>
    <rPh sb="8" eb="9">
      <t>ガク</t>
    </rPh>
    <phoneticPr fontId="2"/>
  </si>
  <si>
    <t>事業報酬額</t>
    <rPh sb="4" eb="5">
      <t>ガク</t>
    </rPh>
    <phoneticPr fontId="2"/>
  </si>
  <si>
    <t>１㎥当たり</t>
    <phoneticPr fontId="2"/>
  </si>
  <si>
    <t>位まで</t>
    <phoneticPr fontId="2"/>
  </si>
  <si>
    <t>小数点第</t>
    <rPh sb="2" eb="3">
      <t>テン</t>
    </rPh>
    <phoneticPr fontId="2"/>
  </si>
  <si>
    <t>位を四捨五入</t>
    <rPh sb="0" eb="1">
      <t>イ</t>
    </rPh>
    <rPh sb="2" eb="6">
      <t>シシャゴニュウ</t>
    </rPh>
    <phoneticPr fontId="2"/>
  </si>
  <si>
    <t>位を切捨て</t>
    <rPh sb="0" eb="1">
      <t>イ</t>
    </rPh>
    <rPh sb="2" eb="4">
      <t>キリス</t>
    </rPh>
    <phoneticPr fontId="2"/>
  </si>
  <si>
    <t>位を切上げ</t>
    <rPh sb="0" eb="1">
      <t>イ</t>
    </rPh>
    <rPh sb="2" eb="4">
      <t>キリア</t>
    </rPh>
    <phoneticPr fontId="2"/>
  </si>
  <si>
    <t>供給需要原価（本支管分）</t>
    <rPh sb="0" eb="2">
      <t>キョウキュウ</t>
    </rPh>
    <rPh sb="2" eb="4">
      <t>ジュヨウ</t>
    </rPh>
    <rPh sb="4" eb="6">
      <t>ゲンカ</t>
    </rPh>
    <rPh sb="7" eb="8">
      <t>ホン</t>
    </rPh>
    <rPh sb="8" eb="9">
      <t>シ</t>
    </rPh>
    <rPh sb="9" eb="10">
      <t>カン</t>
    </rPh>
    <rPh sb="10" eb="11">
      <t>ブン</t>
    </rPh>
    <phoneticPr fontId="2"/>
  </si>
  <si>
    <t>需要家原価（供給管分）</t>
    <rPh sb="0" eb="3">
      <t>ジュヨウカ</t>
    </rPh>
    <rPh sb="3" eb="5">
      <t>ゲンカ</t>
    </rPh>
    <rPh sb="6" eb="8">
      <t>キョウキュウ</t>
    </rPh>
    <rPh sb="8" eb="9">
      <t>カン</t>
    </rPh>
    <rPh sb="9" eb="10">
      <t>ブン</t>
    </rPh>
    <phoneticPr fontId="2"/>
  </si>
  <si>
    <t>Ｖ</t>
    <phoneticPr fontId="2"/>
  </si>
  <si>
    <t>Ｗ</t>
    <phoneticPr fontId="2"/>
  </si>
  <si>
    <t>供給需要原価</t>
    <rPh sb="0" eb="2">
      <t>キョウキュウ</t>
    </rPh>
    <rPh sb="2" eb="4">
      <t>ジュヨウ</t>
    </rPh>
    <rPh sb="4" eb="6">
      <t>ゲンカ</t>
    </rPh>
    <phoneticPr fontId="2"/>
  </si>
  <si>
    <t>需要家原価</t>
    <rPh sb="0" eb="3">
      <t>ジュヨウカ</t>
    </rPh>
    <rPh sb="3" eb="5">
      <t>ゲンカ</t>
    </rPh>
    <phoneticPr fontId="2"/>
  </si>
  <si>
    <t>Ｙ</t>
    <phoneticPr fontId="2"/>
  </si>
  <si>
    <t>Ｚ</t>
    <phoneticPr fontId="2"/>
  </si>
  <si>
    <t>ガ  ス  料  金  早  見  表</t>
  </si>
  <si>
    <t xml:space="preserve">（消費税等を含んでおりません。） </t>
    <phoneticPr fontId="2"/>
  </si>
  <si>
    <t xml:space="preserve">（消費税等を含んでおります。） </t>
    <phoneticPr fontId="2"/>
  </si>
  <si>
    <t>　配分率の端数　四捨五入の小数</t>
    <rPh sb="2" eb="3">
      <t>ブン</t>
    </rPh>
    <phoneticPr fontId="2"/>
  </si>
  <si>
    <t>　　導管配分比率</t>
    <rPh sb="5" eb="6">
      <t>ブン</t>
    </rPh>
    <rPh sb="6" eb="7">
      <t>ヒ</t>
    </rPh>
    <phoneticPr fontId="2"/>
  </si>
  <si>
    <t>　　労務費及び車両配分比率</t>
    <rPh sb="9" eb="11">
      <t>ハイブン</t>
    </rPh>
    <rPh sb="11" eb="13">
      <t>ヒリツ</t>
    </rPh>
    <phoneticPr fontId="2"/>
  </si>
  <si>
    <t>消費税率</t>
    <rPh sb="0" eb="3">
      <t>ショウヒゼイ</t>
    </rPh>
    <rPh sb="3" eb="4">
      <t>リツ</t>
    </rPh>
    <phoneticPr fontId="22"/>
  </si>
  <si>
    <t>原料費調整額</t>
    <rPh sb="0" eb="3">
      <t>ゲンリョウヒ</t>
    </rPh>
    <rPh sb="3" eb="5">
      <t>チョウセイ</t>
    </rPh>
    <rPh sb="5" eb="6">
      <t>ガク</t>
    </rPh>
    <phoneticPr fontId="22"/>
  </si>
  <si>
    <t>原料費調整額(税込)</t>
    <rPh sb="0" eb="3">
      <t>ゲンリョウヒ</t>
    </rPh>
    <rPh sb="3" eb="5">
      <t>チョウセイ</t>
    </rPh>
    <rPh sb="5" eb="6">
      <t>ガク</t>
    </rPh>
    <rPh sb="7" eb="9">
      <t>ゼイコ</t>
    </rPh>
    <phoneticPr fontId="22"/>
  </si>
  <si>
    <t>地点</t>
    <phoneticPr fontId="2"/>
  </si>
  <si>
    <t>年目</t>
    <phoneticPr fontId="2"/>
  </si>
  <si>
    <t>年次</t>
    <phoneticPr fontId="2"/>
  </si>
  <si>
    <t>Ａ　群　</t>
    <phoneticPr fontId="2"/>
  </si>
  <si>
    <t>Ｂ　群　</t>
    <phoneticPr fontId="2"/>
  </si>
  <si>
    <t>Ｃ　群　</t>
    <phoneticPr fontId="2"/>
  </si>
  <si>
    <t>変　 　動  　　費</t>
    <phoneticPr fontId="2"/>
  </si>
  <si>
    <t>延 調 定 数 比 率(%)</t>
    <phoneticPr fontId="2"/>
  </si>
  <si>
    <t>年間ガス販売量比率(%)</t>
    <phoneticPr fontId="2"/>
  </si>
  <si>
    <t>年間ガス販売量比率(%)</t>
    <phoneticPr fontId="2"/>
  </si>
  <si>
    <t>メーター通過量比率(%)</t>
    <phoneticPr fontId="2"/>
  </si>
  <si>
    <t>需  要  家  原  価</t>
    <phoneticPr fontId="2"/>
  </si>
  <si>
    <t>原     価     計</t>
    <phoneticPr fontId="2"/>
  </si>
  <si>
    <t>基   本   料   金</t>
    <phoneticPr fontId="2"/>
  </si>
  <si>
    <t>基 準 単 位 料 金</t>
    <phoneticPr fontId="2"/>
  </si>
  <si>
    <t>収     入     計</t>
    <phoneticPr fontId="2"/>
  </si>
  <si>
    <t>収  入 － 原  価</t>
    <phoneticPr fontId="2"/>
  </si>
  <si>
    <t>１～３ﾋﾟｰｸ月販売量比率(%)</t>
    <phoneticPr fontId="2"/>
  </si>
  <si>
    <t>配分率</t>
    <rPh sb="1" eb="2">
      <t>ブン</t>
    </rPh>
    <phoneticPr fontId="2"/>
  </si>
  <si>
    <t>配分率･計算額１</t>
    <rPh sb="1" eb="2">
      <t>ブン</t>
    </rPh>
    <phoneticPr fontId="2"/>
  </si>
  <si>
    <t>項　　　目</t>
    <phoneticPr fontId="2"/>
  </si>
  <si>
    <t>配分基準</t>
    <rPh sb="1" eb="2">
      <t>ブン</t>
    </rPh>
    <phoneticPr fontId="2"/>
  </si>
  <si>
    <t>配分条件</t>
    <rPh sb="1" eb="2">
      <t>ブン</t>
    </rPh>
    <phoneticPr fontId="2"/>
  </si>
  <si>
    <t>配分原価(円)</t>
    <rPh sb="1" eb="2">
      <t>ブン</t>
    </rPh>
    <phoneticPr fontId="2"/>
  </si>
  <si>
    <t>需要種別への原価配分基準</t>
    <rPh sb="9" eb="10">
      <t>ブン</t>
    </rPh>
    <phoneticPr fontId="2"/>
  </si>
  <si>
    <t>レートメイク</t>
    <phoneticPr fontId="2"/>
  </si>
  <si>
    <r>
      <t xml:space="preserve"> &lt;単位：円  100.4652MJ/ｍ</t>
    </r>
    <r>
      <rPr>
        <vertAlign val="superscript"/>
        <sz val="9"/>
        <rFont val="明朝"/>
        <family val="3"/>
        <charset val="128"/>
      </rPr>
      <t>３</t>
    </r>
    <r>
      <rPr>
        <sz val="6"/>
        <rFont val="明朝"/>
        <family val="3"/>
        <charset val="128"/>
      </rPr>
      <t>(24,000Kcal相当/㎥)</t>
    </r>
    <r>
      <rPr>
        <sz val="12"/>
        <rFont val="ＭＳ 明朝"/>
        <family val="1"/>
        <charset val="128"/>
      </rPr>
      <t>&gt;</t>
    </r>
    <rPh sb="32" eb="34">
      <t>ソウトウ</t>
    </rPh>
    <phoneticPr fontId="2"/>
  </si>
  <si>
    <t>■レートメイキング</t>
    <phoneticPr fontId="2"/>
  </si>
  <si>
    <t>※      入力項目</t>
    <rPh sb="7" eb="9">
      <t>ニュウリョク</t>
    </rPh>
    <rPh sb="9" eb="11">
      <t>コウモク</t>
    </rPh>
    <phoneticPr fontId="2"/>
  </si>
  <si>
    <t>※　　　8・30以外入力項目</t>
    <rPh sb="10" eb="12">
      <t>ニュウリョク</t>
    </rPh>
    <rPh sb="12" eb="14">
      <t>コウモク</t>
    </rPh>
    <phoneticPr fontId="2"/>
  </si>
  <si>
    <t>ﾒｰﾀｰ能力</t>
    <rPh sb="4" eb="6">
      <t>ノウリョク</t>
    </rPh>
    <phoneticPr fontId="2"/>
  </si>
  <si>
    <t>法人税係数</t>
    <rPh sb="0" eb="2">
      <t>ホウジン</t>
    </rPh>
    <rPh sb="2" eb="3">
      <t>ゼイ</t>
    </rPh>
    <rPh sb="3" eb="5">
      <t>ケイスウ</t>
    </rPh>
    <phoneticPr fontId="2"/>
  </si>
  <si>
    <t>道府県民税率</t>
    <rPh sb="0" eb="3">
      <t>ドウフケン</t>
    </rPh>
    <rPh sb="3" eb="4">
      <t>ミン</t>
    </rPh>
    <rPh sb="4" eb="6">
      <t>ゼイリツ</t>
    </rPh>
    <phoneticPr fontId="2"/>
  </si>
  <si>
    <t>市町村民税率</t>
    <rPh sb="0" eb="3">
      <t>シチョウソン</t>
    </rPh>
    <rPh sb="3" eb="4">
      <t>ミン</t>
    </rPh>
    <rPh sb="4" eb="6">
      <t>ゼイリツ</t>
    </rPh>
    <phoneticPr fontId="2"/>
  </si>
  <si>
    <r>
      <t>回収率(</t>
    </r>
    <r>
      <rPr>
        <sz val="12"/>
        <rFont val="ＭＳ 明朝"/>
        <family val="1"/>
        <charset val="128"/>
      </rPr>
      <t>%)</t>
    </r>
    <phoneticPr fontId="2"/>
  </si>
  <si>
    <t>計</t>
    <rPh sb="0" eb="1">
      <t>ケイ</t>
    </rPh>
    <phoneticPr fontId="2"/>
  </si>
  <si>
    <t>全ての項目が</t>
    <rPh sb="0" eb="1">
      <t>ゼン</t>
    </rPh>
    <rPh sb="3" eb="5">
      <t>コウモク</t>
    </rPh>
    <phoneticPr fontId="2"/>
  </si>
  <si>
    <t>　　　　　　構築物有り YES:1</t>
    <phoneticPr fontId="2"/>
  </si>
  <si>
    <t>税別変更前料金（料金改定時のみ）</t>
    <rPh sb="0" eb="2">
      <t>ゼイベツ</t>
    </rPh>
    <rPh sb="2" eb="4">
      <t>ヘンコウ</t>
    </rPh>
    <rPh sb="4" eb="5">
      <t>マエ</t>
    </rPh>
    <rPh sb="5" eb="7">
      <t>リョウキン</t>
    </rPh>
    <rPh sb="8" eb="10">
      <t>リョウキン</t>
    </rPh>
    <rPh sb="10" eb="12">
      <t>カイテイ</t>
    </rPh>
    <rPh sb="12" eb="13">
      <t>ジ</t>
    </rPh>
    <phoneticPr fontId="2"/>
  </si>
  <si>
    <t>　　　　　　集合装置有 YES:1</t>
    <phoneticPr fontId="2"/>
  </si>
  <si>
    <t>　　　　　　建物有り   YES:1</t>
    <phoneticPr fontId="2"/>
  </si>
  <si>
    <t>　　　　　　容器有り   YES:1</t>
    <phoneticPr fontId="2"/>
  </si>
  <si>
    <t>　　　　　　導管有り   YES:1</t>
    <phoneticPr fontId="2"/>
  </si>
  <si>
    <t>　　　　　　ﾒｰﾀｰ有り   YES:1</t>
    <phoneticPr fontId="2"/>
  </si>
  <si>
    <t>　　　　　　備品有り   YES:1</t>
    <phoneticPr fontId="2"/>
  </si>
  <si>
    <t>　　　　　　車両有り   YES:1</t>
    <phoneticPr fontId="2"/>
  </si>
  <si>
    <t>償却資産に係る消費税率(%)(免税事業者のみ)→</t>
    <phoneticPr fontId="2"/>
  </si>
  <si>
    <t>事業報酬率↓(公営のみ)</t>
    <rPh sb="0" eb="2">
      <t>ジギョウ</t>
    </rPh>
    <rPh sb="2" eb="4">
      <t>ホウシュウ</t>
    </rPh>
    <rPh sb="4" eb="5">
      <t>リツ</t>
    </rPh>
    <rPh sb="7" eb="9">
      <t>コウエイ</t>
    </rPh>
    <phoneticPr fontId="2"/>
  </si>
  <si>
    <t xml:space="preserve">　原料費高騰及び設備投資等により、総原価の見直しを行い、料金改定を実施するため申請いたします。
　なお、その他の供給条件につきましては現行のものを継続しております。
</t>
    <rPh sb="1" eb="3">
      <t>ゲンリョウ</t>
    </rPh>
    <rPh sb="3" eb="4">
      <t>ヒ</t>
    </rPh>
    <rPh sb="4" eb="6">
      <t>コウトウ</t>
    </rPh>
    <rPh sb="6" eb="7">
      <t>オヨ</t>
    </rPh>
    <rPh sb="8" eb="10">
      <t>セツビ</t>
    </rPh>
    <rPh sb="10" eb="13">
      <t>トウシナド</t>
    </rPh>
    <rPh sb="17" eb="18">
      <t>ソウ</t>
    </rPh>
    <rPh sb="18" eb="20">
      <t>ゲンカ</t>
    </rPh>
    <rPh sb="21" eb="23">
      <t>ミナオ</t>
    </rPh>
    <rPh sb="25" eb="26">
      <t>オコナ</t>
    </rPh>
    <rPh sb="28" eb="30">
      <t>リョウキン</t>
    </rPh>
    <rPh sb="30" eb="32">
      <t>カイテイ</t>
    </rPh>
    <rPh sb="33" eb="35">
      <t>ジッシ</t>
    </rPh>
    <rPh sb="39" eb="41">
      <t>シンセイ</t>
    </rPh>
    <rPh sb="54" eb="55">
      <t>タ</t>
    </rPh>
    <rPh sb="56" eb="58">
      <t>キョウキュウ</t>
    </rPh>
    <rPh sb="58" eb="60">
      <t>ジョウケン</t>
    </rPh>
    <rPh sb="67" eb="69">
      <t>ゲンコウ</t>
    </rPh>
    <rPh sb="73" eb="75">
      <t>ケイゾク</t>
    </rPh>
    <phoneticPr fontId="22"/>
  </si>
  <si>
    <t>切片</t>
    <phoneticPr fontId="2"/>
  </si>
  <si>
    <t>富山</t>
    <rPh sb="0" eb="2">
      <t>トヤマ</t>
    </rPh>
    <phoneticPr fontId="2"/>
  </si>
  <si>
    <t>石川</t>
    <rPh sb="0" eb="2">
      <t>イシカワ</t>
    </rPh>
    <phoneticPr fontId="2"/>
  </si>
  <si>
    <t>岐阜</t>
    <rPh sb="0" eb="2">
      <t>ギフ</t>
    </rPh>
    <phoneticPr fontId="2"/>
  </si>
  <si>
    <t>三重</t>
    <rPh sb="0" eb="2">
      <t>ミエ</t>
    </rPh>
    <phoneticPr fontId="2"/>
  </si>
  <si>
    <t>福井</t>
    <rPh sb="0" eb="2">
      <t>フクイ</t>
    </rPh>
    <phoneticPr fontId="2"/>
  </si>
  <si>
    <t>兵庫</t>
    <phoneticPr fontId="2"/>
  </si>
  <si>
    <t>滋賀</t>
    <rPh sb="0" eb="2">
      <t>シガ</t>
    </rPh>
    <phoneticPr fontId="2"/>
  </si>
  <si>
    <t>京都</t>
    <rPh sb="0" eb="2">
      <t>キョウト</t>
    </rPh>
    <phoneticPr fontId="2"/>
  </si>
  <si>
    <t>長野</t>
    <rPh sb="0" eb="2">
      <t>ナガノ</t>
    </rPh>
    <phoneticPr fontId="2"/>
  </si>
  <si>
    <t>愛知</t>
    <phoneticPr fontId="2"/>
  </si>
  <si>
    <t>炭素鋼鋼管</t>
    <rPh sb="0" eb="2">
      <t>タンソ</t>
    </rPh>
    <rPh sb="2" eb="3">
      <t>コウ</t>
    </rPh>
    <rPh sb="3" eb="5">
      <t>コウカン</t>
    </rPh>
    <phoneticPr fontId="2"/>
  </si>
  <si>
    <t>ポリエチレン管</t>
    <rPh sb="6" eb="7">
      <t>カン</t>
    </rPh>
    <phoneticPr fontId="2"/>
  </si>
  <si>
    <t>(1)使用量の段階別需要構成（第１表）</t>
  </si>
  <si>
    <t>①</t>
  </si>
  <si>
    <t>⑤-(①+③+④)</t>
  </si>
  <si>
    <t>②</t>
  </si>
  <si>
    <t>⑤×第２段階需要構成率</t>
  </si>
  <si>
    <t>③</t>
  </si>
  <si>
    <t>⑤×第３段階需要構成率</t>
  </si>
  <si>
    <t>④</t>
  </si>
  <si>
    <t>　　合　　　　計</t>
  </si>
  <si>
    <t>⑤</t>
  </si>
  <si>
    <t>(2)展開(第２表)</t>
  </si>
  <si>
    <t xml:space="preserve">  　　　計　算（㎥／年）</t>
    <phoneticPr fontId="2"/>
  </si>
  <si>
    <t xml:space="preserve"> 第1表①×　１＝</t>
  </si>
  <si>
    <t xml:space="preserve">    　②× 0.7＝</t>
  </si>
  <si>
    <t>　　　③× 0.5＝</t>
  </si>
  <si>
    <t>　　　④× 0.4＝</t>
  </si>
  <si>
    <t>　　合　　計（Ｘ）</t>
  </si>
  <si>
    <t>　　　　　　Ｘ</t>
  </si>
  <si>
    <t>　</t>
  </si>
  <si>
    <t>　　Ｙ×0.7×0.1 ＝</t>
  </si>
  <si>
    <t>　　Ｙ×0.5×0.1 ＝</t>
  </si>
  <si>
    <t>　　Ｙ×0.4×0.1 ＝</t>
  </si>
  <si>
    <t>使用量区画(㎥／月)</t>
    <phoneticPr fontId="2"/>
  </si>
  <si>
    <t>　　　　使用量（㎥／年）</t>
    <phoneticPr fontId="2"/>
  </si>
  <si>
    <t>最初の1.5㎥まで</t>
    <phoneticPr fontId="2"/>
  </si>
  <si>
    <t>1.5㎥×供給地点数×12</t>
    <phoneticPr fontId="2"/>
  </si>
  <si>
    <t>1.5㎥超　15㎥まで</t>
    <phoneticPr fontId="2"/>
  </si>
  <si>
    <t>15㎥超　30㎥まで</t>
    <phoneticPr fontId="2"/>
  </si>
  <si>
    <t>30㎥超</t>
    <phoneticPr fontId="2"/>
  </si>
  <si>
    <t xml:space="preserve">    　個別原価項目合計</t>
    <phoneticPr fontId="2"/>
  </si>
  <si>
    <t>最初の1.5㎥まで(最低料金) Ｙ×1.5    ＝</t>
    <phoneticPr fontId="2"/>
  </si>
  <si>
    <t>（参考）供給約款料金の使用量区画別による区分展開説明</t>
    <rPh sb="1" eb="3">
      <t>サンコウ</t>
    </rPh>
    <rPh sb="6" eb="8">
      <t>ヤッカン</t>
    </rPh>
    <phoneticPr fontId="2"/>
  </si>
  <si>
    <t>建物</t>
    <rPh sb="0" eb="2">
      <t>タテモノ</t>
    </rPh>
    <phoneticPr fontId="2"/>
  </si>
  <si>
    <t>構築物</t>
    <rPh sb="0" eb="3">
      <t>コウチクブツ</t>
    </rPh>
    <phoneticPr fontId="2"/>
  </si>
  <si>
    <t>集合装置</t>
    <rPh sb="0" eb="2">
      <t>シュウゴウ</t>
    </rPh>
    <rPh sb="2" eb="4">
      <t>ソウチ</t>
    </rPh>
    <phoneticPr fontId="2"/>
  </si>
  <si>
    <t>容器</t>
    <rPh sb="0" eb="2">
      <t>ヨウキ</t>
    </rPh>
    <phoneticPr fontId="2"/>
  </si>
  <si>
    <t>導管</t>
    <rPh sb="0" eb="2">
      <t>ドウカン</t>
    </rPh>
    <phoneticPr fontId="2"/>
  </si>
  <si>
    <t>備品</t>
    <rPh sb="0" eb="2">
      <t>ビヒン</t>
    </rPh>
    <phoneticPr fontId="2"/>
  </si>
  <si>
    <t>合計</t>
    <rPh sb="0" eb="2">
      <t>ゴウケイ</t>
    </rPh>
    <phoneticPr fontId="2"/>
  </si>
  <si>
    <t>投資額</t>
    <rPh sb="0" eb="2">
      <t>トウシ</t>
    </rPh>
    <rPh sb="2" eb="3">
      <t>ガク</t>
    </rPh>
    <phoneticPr fontId="2"/>
  </si>
  <si>
    <t>減価償却費</t>
    <rPh sb="0" eb="2">
      <t>ゲンカ</t>
    </rPh>
    <rPh sb="2" eb="4">
      <t>ショウキャク</t>
    </rPh>
    <rPh sb="4" eb="5">
      <t>ヒ</t>
    </rPh>
    <phoneticPr fontId="2"/>
  </si>
  <si>
    <t>＝</t>
    <phoneticPr fontId="2"/>
  </si>
  <si>
    <t>関東</t>
    <rPh sb="0" eb="2">
      <t>カントウ</t>
    </rPh>
    <phoneticPr fontId="2"/>
  </si>
  <si>
    <t>東北</t>
    <rPh sb="0" eb="2">
      <t>トウホク</t>
    </rPh>
    <phoneticPr fontId="2"/>
  </si>
  <si>
    <t>中部</t>
    <rPh sb="0" eb="2">
      <t>チュウブ</t>
    </rPh>
    <phoneticPr fontId="2"/>
  </si>
  <si>
    <t>北陸</t>
    <rPh sb="0" eb="2">
      <t>ホクリク</t>
    </rPh>
    <phoneticPr fontId="2"/>
  </si>
  <si>
    <t>近畿</t>
    <rPh sb="0" eb="2">
      <t>キンキ</t>
    </rPh>
    <phoneticPr fontId="2"/>
  </si>
  <si>
    <t>中国</t>
    <rPh sb="0" eb="2">
      <t>チュウゴク</t>
    </rPh>
    <phoneticPr fontId="2"/>
  </si>
  <si>
    <t>四国</t>
    <rPh sb="0" eb="2">
      <t>シコク</t>
    </rPh>
    <phoneticPr fontId="2"/>
  </si>
  <si>
    <t>九州</t>
    <rPh sb="0" eb="2">
      <t>キュウシュウ</t>
    </rPh>
    <phoneticPr fontId="2"/>
  </si>
  <si>
    <t>沖縄</t>
    <rPh sb="0" eb="2">
      <t>オキナワ</t>
    </rPh>
    <phoneticPr fontId="2"/>
  </si>
  <si>
    <t>第２段階</t>
    <rPh sb="0" eb="1">
      <t>ダイ</t>
    </rPh>
    <rPh sb="2" eb="3">
      <t>ダン</t>
    </rPh>
    <rPh sb="3" eb="4">
      <t>カイ</t>
    </rPh>
    <phoneticPr fontId="2"/>
  </si>
  <si>
    <t>第３段階</t>
    <rPh sb="0" eb="1">
      <t>ダイ</t>
    </rPh>
    <rPh sb="2" eb="3">
      <t>ダン</t>
    </rPh>
    <rPh sb="3" eb="4">
      <t>カイ</t>
    </rPh>
    <phoneticPr fontId="2"/>
  </si>
  <si>
    <t>地点群
所在地</t>
    <rPh sb="0" eb="2">
      <t>チテン</t>
    </rPh>
    <rPh sb="2" eb="3">
      <t>グン</t>
    </rPh>
    <rPh sb="4" eb="7">
      <t>ショザイチ</t>
    </rPh>
    <phoneticPr fontId="2"/>
  </si>
  <si>
    <t>10㎥のガス料金</t>
    <phoneticPr fontId="2"/>
  </si>
  <si>
    <t>15㎥のガス料金</t>
    <phoneticPr fontId="2"/>
  </si>
  <si>
    <t>基準料金</t>
    <rPh sb="0" eb="2">
      <t>キジュン</t>
    </rPh>
    <rPh sb="2" eb="4">
      <t>リョウキン</t>
    </rPh>
    <phoneticPr fontId="2"/>
  </si>
  <si>
    <t>単位料金</t>
    <rPh sb="0" eb="2">
      <t>タンイ</t>
    </rPh>
    <rPh sb="2" eb="4">
      <t>リョウキン</t>
    </rPh>
    <phoneticPr fontId="2"/>
  </si>
  <si>
    <t>最初の1.5㎥まで</t>
    <rPh sb="0" eb="2">
      <t>サイショ</t>
    </rPh>
    <phoneticPr fontId="2"/>
  </si>
  <si>
    <t>使用量区画（㎥/月）</t>
    <rPh sb="0" eb="3">
      <t>シヨウリョウ</t>
    </rPh>
    <rPh sb="3" eb="5">
      <t>クカク</t>
    </rPh>
    <rPh sb="8" eb="9">
      <t>ツキ</t>
    </rPh>
    <phoneticPr fontId="2"/>
  </si>
  <si>
    <t>1.5㎥を超え15㎥まで</t>
    <rPh sb="5" eb="6">
      <t>コ</t>
    </rPh>
    <phoneticPr fontId="2"/>
  </si>
  <si>
    <t>15㎥を超え30㎥まで</t>
    <rPh sb="4" eb="5">
      <t>コ</t>
    </rPh>
    <phoneticPr fontId="2"/>
  </si>
  <si>
    <t>30㎥を超える量</t>
    <rPh sb="4" eb="5">
      <t>コ</t>
    </rPh>
    <rPh sb="7" eb="8">
      <t>リョウ</t>
    </rPh>
    <phoneticPr fontId="2"/>
  </si>
  <si>
    <t xml:space="preserve">  仮想収入計</t>
  </si>
  <si>
    <t xml:space="preserve">  C群算定</t>
  </si>
  <si>
    <t>基本仮定単価</t>
  </si>
  <si>
    <t>従量仮定単価</t>
  </si>
  <si>
    <t>導管取替</t>
    <rPh sb="0" eb="2">
      <t>ドウカン</t>
    </rPh>
    <rPh sb="2" eb="4">
      <t>トリカ</t>
    </rPh>
    <phoneticPr fontId="2"/>
  </si>
  <si>
    <t>ケース２</t>
  </si>
  <si>
    <t>ケース３</t>
  </si>
  <si>
    <t>ケース４</t>
  </si>
  <si>
    <t>ケース５</t>
  </si>
  <si>
    <t>ケース６</t>
  </si>
  <si>
    <t>ケース７</t>
  </si>
  <si>
    <t>ケース８</t>
  </si>
  <si>
    <t>基本</t>
    <rPh sb="0" eb="2">
      <t>キホン</t>
    </rPh>
    <phoneticPr fontId="2"/>
  </si>
  <si>
    <t>供給地点数</t>
    <rPh sb="0" eb="2">
      <t>キョウキュウ</t>
    </rPh>
    <rPh sb="2" eb="3">
      <t>チ</t>
    </rPh>
    <rPh sb="3" eb="5">
      <t>テンスウ</t>
    </rPh>
    <phoneticPr fontId="2"/>
  </si>
  <si>
    <t>鋼管</t>
    <rPh sb="0" eb="2">
      <t>コウカン</t>
    </rPh>
    <phoneticPr fontId="2"/>
  </si>
  <si>
    <t xml:space="preserve"> 導管の種類　  鋼管:0/PE管:1</t>
    <phoneticPr fontId="2"/>
  </si>
  <si>
    <t>ケース１</t>
    <phoneticPr fontId="2"/>
  </si>
  <si>
    <r>
      <t xml:space="preserve">算 </t>
    </r>
    <r>
      <rPr>
        <sz val="12"/>
        <rFont val="ＭＳ 明朝"/>
        <family val="1"/>
        <charset val="128"/>
      </rPr>
      <t xml:space="preserve">      </t>
    </r>
    <r>
      <rPr>
        <sz val="12"/>
        <rFont val="ＭＳ 明朝"/>
        <family val="1"/>
        <charset val="128"/>
      </rPr>
      <t>定</t>
    </r>
    <r>
      <rPr>
        <sz val="12"/>
        <rFont val="ＭＳ 明朝"/>
        <family val="1"/>
        <charset val="128"/>
      </rPr>
      <t xml:space="preserve">       </t>
    </r>
    <r>
      <rPr>
        <sz val="12"/>
        <rFont val="ＭＳ 明朝"/>
        <family val="1"/>
        <charset val="128"/>
      </rPr>
      <t>式</t>
    </r>
    <rPh sb="0" eb="1">
      <t>ザン</t>
    </rPh>
    <rPh sb="8" eb="9">
      <t>サダム</t>
    </rPh>
    <rPh sb="16" eb="17">
      <t>シキ</t>
    </rPh>
    <phoneticPr fontId="2"/>
  </si>
  <si>
    <t>メーター</t>
    <phoneticPr fontId="2"/>
  </si>
  <si>
    <t>１供給地点
当たり
投資額</t>
    <rPh sb="1" eb="3">
      <t>キョウキュウ</t>
    </rPh>
    <rPh sb="3" eb="5">
      <t>チテン</t>
    </rPh>
    <rPh sb="6" eb="7">
      <t>ア</t>
    </rPh>
    <rPh sb="10" eb="12">
      <t>トウシ</t>
    </rPh>
    <rPh sb="12" eb="13">
      <t>ガク</t>
    </rPh>
    <phoneticPr fontId="2"/>
  </si>
  <si>
    <t>ＰＥ</t>
    <phoneticPr fontId="2"/>
  </si>
  <si>
    <t>ＰＥ</t>
    <phoneticPr fontId="2"/>
  </si>
  <si>
    <t>ＰＥ</t>
    <phoneticPr fontId="2"/>
  </si>
  <si>
    <t>１供給地
点当たり
投資額</t>
    <rPh sb="1" eb="3">
      <t>キョウキュウ</t>
    </rPh>
    <rPh sb="3" eb="4">
      <t>チ</t>
    </rPh>
    <rPh sb="5" eb="6">
      <t>テン</t>
    </rPh>
    <rPh sb="6" eb="7">
      <t>ア</t>
    </rPh>
    <rPh sb="10" eb="12">
      <t>トウシ</t>
    </rPh>
    <rPh sb="12" eb="13">
      <t>ガク</t>
    </rPh>
    <phoneticPr fontId="2"/>
  </si>
  <si>
    <t>ＰＥ</t>
    <phoneticPr fontId="2"/>
  </si>
  <si>
    <t>標準係数</t>
    <rPh sb="0" eb="2">
      <t>ヒョウジュン</t>
    </rPh>
    <rPh sb="2" eb="4">
      <t>ケイスウ</t>
    </rPh>
    <phoneticPr fontId="2"/>
  </si>
  <si>
    <t>地点数</t>
    <rPh sb="0" eb="2">
      <t>チテン</t>
    </rPh>
    <rPh sb="2" eb="3">
      <t>スウ</t>
    </rPh>
    <phoneticPr fontId="2"/>
  </si>
  <si>
    <t>金額</t>
    <rPh sb="0" eb="2">
      <t>キンガク</t>
    </rPh>
    <phoneticPr fontId="2"/>
  </si>
  <si>
    <r>
      <t xml:space="preserve"> 5</t>
    </r>
    <r>
      <rPr>
        <sz val="12"/>
        <rFont val="ＭＳ 明朝"/>
        <family val="1"/>
        <charset val="128"/>
      </rPr>
      <t>,000地点を超え～</t>
    </r>
    <r>
      <rPr>
        <sz val="12"/>
        <rFont val="ＭＳ 明朝"/>
        <family val="1"/>
        <charset val="128"/>
      </rPr>
      <t>6,000地点まで</t>
    </r>
    <r>
      <rPr>
        <sz val="12"/>
        <rFont val="ＭＳ 明朝"/>
        <family val="1"/>
        <charset val="128"/>
      </rPr>
      <t/>
    </r>
    <rPh sb="6" eb="8">
      <t>チテン</t>
    </rPh>
    <rPh sb="9" eb="10">
      <t>コ</t>
    </rPh>
    <rPh sb="17" eb="19">
      <t>チテン</t>
    </rPh>
    <phoneticPr fontId="2"/>
  </si>
  <si>
    <r>
      <t xml:space="preserve"> </t>
    </r>
    <r>
      <rPr>
        <sz val="12"/>
        <rFont val="ＭＳ 明朝"/>
        <family val="1"/>
        <charset val="128"/>
      </rPr>
      <t xml:space="preserve">   </t>
    </r>
    <r>
      <rPr>
        <sz val="12"/>
        <rFont val="ＭＳ 明朝"/>
        <family val="1"/>
        <charset val="128"/>
      </rPr>
      <t>70地点以上</t>
    </r>
    <r>
      <rPr>
        <sz val="12"/>
        <rFont val="ＭＳ 明朝"/>
        <family val="1"/>
        <charset val="128"/>
      </rPr>
      <t xml:space="preserve">  </t>
    </r>
    <r>
      <rPr>
        <sz val="12"/>
        <rFont val="ＭＳ 明朝"/>
        <family val="1"/>
        <charset val="128"/>
      </rPr>
      <t>～</t>
    </r>
    <r>
      <rPr>
        <sz val="12"/>
        <rFont val="ＭＳ 明朝"/>
        <family val="1"/>
        <charset val="128"/>
      </rPr>
      <t xml:space="preserve">  </t>
    </r>
    <r>
      <rPr>
        <sz val="12"/>
        <rFont val="ＭＳ 明朝"/>
        <family val="1"/>
        <charset val="128"/>
      </rPr>
      <t>250地点まで</t>
    </r>
    <rPh sb="6" eb="8">
      <t>チテン</t>
    </rPh>
    <rPh sb="8" eb="10">
      <t>イジョウ</t>
    </rPh>
    <rPh sb="18" eb="20">
      <t>チテン</t>
    </rPh>
    <phoneticPr fontId="2"/>
  </si>
  <si>
    <r>
      <t xml:space="preserve">   </t>
    </r>
    <r>
      <rPr>
        <sz val="12"/>
        <rFont val="ＭＳ 明朝"/>
        <family val="1"/>
        <charset val="128"/>
      </rPr>
      <t>250地点を超え～</t>
    </r>
    <r>
      <rPr>
        <sz val="12"/>
        <rFont val="ＭＳ 明朝"/>
        <family val="1"/>
        <charset val="128"/>
      </rPr>
      <t>1,000</t>
    </r>
    <r>
      <rPr>
        <sz val="12"/>
        <rFont val="ＭＳ 明朝"/>
        <family val="1"/>
        <charset val="128"/>
      </rPr>
      <t>地点まで</t>
    </r>
    <rPh sb="6" eb="8">
      <t>チテン</t>
    </rPh>
    <rPh sb="9" eb="10">
      <t>コ</t>
    </rPh>
    <rPh sb="17" eb="19">
      <t>チテン</t>
    </rPh>
    <phoneticPr fontId="2"/>
  </si>
  <si>
    <r>
      <t xml:space="preserve"> </t>
    </r>
    <r>
      <rPr>
        <sz val="12"/>
        <rFont val="ＭＳ 明朝"/>
        <family val="1"/>
        <charset val="128"/>
      </rPr>
      <t>1,000地点を超え～</t>
    </r>
    <r>
      <rPr>
        <sz val="12"/>
        <rFont val="ＭＳ 明朝"/>
        <family val="1"/>
        <charset val="128"/>
      </rPr>
      <t>2,000</t>
    </r>
    <r>
      <rPr>
        <sz val="12"/>
        <rFont val="ＭＳ 明朝"/>
        <family val="1"/>
        <charset val="128"/>
      </rPr>
      <t>地点まで</t>
    </r>
    <rPh sb="6" eb="8">
      <t>チテン</t>
    </rPh>
    <rPh sb="9" eb="10">
      <t>コ</t>
    </rPh>
    <rPh sb="17" eb="19">
      <t>チテン</t>
    </rPh>
    <phoneticPr fontId="2"/>
  </si>
  <si>
    <r>
      <t xml:space="preserve"> </t>
    </r>
    <r>
      <rPr>
        <sz val="12"/>
        <rFont val="ＭＳ 明朝"/>
        <family val="1"/>
        <charset val="128"/>
      </rPr>
      <t>2,000地点を超え～</t>
    </r>
    <r>
      <rPr>
        <sz val="12"/>
        <rFont val="ＭＳ 明朝"/>
        <family val="1"/>
        <charset val="128"/>
      </rPr>
      <t>3,000</t>
    </r>
    <r>
      <rPr>
        <sz val="12"/>
        <rFont val="ＭＳ 明朝"/>
        <family val="1"/>
        <charset val="128"/>
      </rPr>
      <t>地点まで</t>
    </r>
    <rPh sb="6" eb="8">
      <t>チテン</t>
    </rPh>
    <rPh sb="9" eb="10">
      <t>コ</t>
    </rPh>
    <rPh sb="17" eb="19">
      <t>チテン</t>
    </rPh>
    <phoneticPr fontId="2"/>
  </si>
  <si>
    <r>
      <t xml:space="preserve"> 3</t>
    </r>
    <r>
      <rPr>
        <sz val="12"/>
        <rFont val="ＭＳ 明朝"/>
        <family val="1"/>
        <charset val="128"/>
      </rPr>
      <t>,000地点を超え～</t>
    </r>
    <r>
      <rPr>
        <sz val="12"/>
        <rFont val="ＭＳ 明朝"/>
        <family val="1"/>
        <charset val="128"/>
      </rPr>
      <t>4,000地点まで</t>
    </r>
    <r>
      <rPr>
        <sz val="12"/>
        <rFont val="ＭＳ 明朝"/>
        <family val="1"/>
        <charset val="128"/>
      </rPr>
      <t/>
    </r>
    <rPh sb="6" eb="8">
      <t>チテン</t>
    </rPh>
    <rPh sb="9" eb="10">
      <t>コ</t>
    </rPh>
    <rPh sb="17" eb="19">
      <t>チテン</t>
    </rPh>
    <phoneticPr fontId="2"/>
  </si>
  <si>
    <r>
      <t xml:space="preserve"> 4</t>
    </r>
    <r>
      <rPr>
        <sz val="12"/>
        <rFont val="ＭＳ 明朝"/>
        <family val="1"/>
        <charset val="128"/>
      </rPr>
      <t>,000地点を超え～</t>
    </r>
    <r>
      <rPr>
        <sz val="12"/>
        <rFont val="ＭＳ 明朝"/>
        <family val="1"/>
        <charset val="128"/>
      </rPr>
      <t>5,000地点まで</t>
    </r>
    <r>
      <rPr>
        <sz val="12"/>
        <rFont val="ＭＳ 明朝"/>
        <family val="1"/>
        <charset val="128"/>
      </rPr>
      <t/>
    </r>
    <rPh sb="6" eb="8">
      <t>チテン</t>
    </rPh>
    <rPh sb="9" eb="10">
      <t>コ</t>
    </rPh>
    <rPh sb="17" eb="19">
      <t>チテン</t>
    </rPh>
    <phoneticPr fontId="2"/>
  </si>
  <si>
    <t xml:space="preserve"> 6,001地点以上</t>
    <rPh sb="6" eb="8">
      <t>チテン</t>
    </rPh>
    <rPh sb="8" eb="10">
      <t>イジョウ</t>
    </rPh>
    <phoneticPr fontId="2"/>
  </si>
  <si>
    <t>（単位：円）</t>
    <rPh sb="1" eb="3">
      <t>タンイ</t>
    </rPh>
    <rPh sb="4" eb="5">
      <t>エン</t>
    </rPh>
    <phoneticPr fontId="2"/>
  </si>
  <si>
    <t>供給地点群の規模別区分</t>
    <phoneticPr fontId="2"/>
  </si>
  <si>
    <t>－</t>
    <phoneticPr fontId="2"/>
  </si>
  <si>
    <r>
      <t xml:space="preserve">合 </t>
    </r>
    <r>
      <rPr>
        <sz val="12"/>
        <rFont val="ＭＳ 明朝"/>
        <family val="1"/>
        <charset val="128"/>
      </rPr>
      <t xml:space="preserve">   </t>
    </r>
    <r>
      <rPr>
        <sz val="12"/>
        <rFont val="ＭＳ 明朝"/>
        <family val="1"/>
        <charset val="128"/>
      </rPr>
      <t>計</t>
    </r>
    <rPh sb="0" eb="1">
      <t>ゴウ</t>
    </rPh>
    <rPh sb="5" eb="6">
      <t>ケイ</t>
    </rPh>
    <phoneticPr fontId="2"/>
  </si>
  <si>
    <t>減価償却費明細</t>
    <rPh sb="0" eb="2">
      <t>ゲンカ</t>
    </rPh>
    <rPh sb="2" eb="4">
      <t>ショウキャク</t>
    </rPh>
    <rPh sb="4" eb="5">
      <t>ヒ</t>
    </rPh>
    <rPh sb="5" eb="7">
      <t>メイサイ</t>
    </rPh>
    <phoneticPr fontId="2"/>
  </si>
  <si>
    <t>＝</t>
    <phoneticPr fontId="2"/>
  </si>
  <si>
    <t xml:space="preserve"> －</t>
    <phoneticPr fontId="2"/>
  </si>
  <si>
    <t>メーター</t>
    <phoneticPr fontId="2"/>
  </si>
  <si>
    <t>１供給地点当たり投資額</t>
    <rPh sb="1" eb="3">
      <t>キョウキュウ</t>
    </rPh>
    <rPh sb="3" eb="5">
      <t>チテン</t>
    </rPh>
    <rPh sb="5" eb="6">
      <t>ア</t>
    </rPh>
    <rPh sb="8" eb="10">
      <t>トウシ</t>
    </rPh>
    <rPh sb="10" eb="11">
      <t>ガク</t>
    </rPh>
    <phoneticPr fontId="2"/>
  </si>
  <si>
    <t>建物他投資額個別明細</t>
    <rPh sb="0" eb="2">
      <t>タテモノ</t>
    </rPh>
    <rPh sb="2" eb="3">
      <t>ホカ</t>
    </rPh>
    <rPh sb="3" eb="5">
      <t>トウシ</t>
    </rPh>
    <rPh sb="5" eb="6">
      <t>ガク</t>
    </rPh>
    <rPh sb="6" eb="8">
      <t>コベツ</t>
    </rPh>
    <rPh sb="8" eb="10">
      <t>メイサイ</t>
    </rPh>
    <phoneticPr fontId="2"/>
  </si>
  <si>
    <t>導管投資額個別明細</t>
    <rPh sb="0" eb="2">
      <t>ドウカン</t>
    </rPh>
    <rPh sb="2" eb="4">
      <t>トウシ</t>
    </rPh>
    <rPh sb="4" eb="5">
      <t>ガク</t>
    </rPh>
    <rPh sb="5" eb="7">
      <t>コベツ</t>
    </rPh>
    <rPh sb="7" eb="9">
      <t>メイサイ</t>
    </rPh>
    <phoneticPr fontId="2"/>
  </si>
  <si>
    <t>車両投資額個別明細</t>
    <rPh sb="0" eb="2">
      <t>シャリョウ</t>
    </rPh>
    <rPh sb="2" eb="4">
      <t>トウシ</t>
    </rPh>
    <rPh sb="4" eb="5">
      <t>ガク</t>
    </rPh>
    <rPh sb="5" eb="7">
      <t>コベツ</t>
    </rPh>
    <rPh sb="7" eb="9">
      <t>メイサイ</t>
    </rPh>
    <phoneticPr fontId="2"/>
  </si>
  <si>
    <t>　備考  １．用紙の大きさは、日本工業規格Ａ４とすること。</t>
    <phoneticPr fontId="2"/>
  </si>
  <si>
    <r>
      <t xml:space="preserve">実 </t>
    </r>
    <r>
      <rPr>
        <sz val="12"/>
        <rFont val="ＭＳ 明朝"/>
        <family val="1"/>
        <charset val="128"/>
      </rPr>
      <t xml:space="preserve"> </t>
    </r>
    <r>
      <rPr>
        <sz val="12"/>
        <rFont val="ＭＳ 明朝"/>
        <family val="1"/>
        <charset val="128"/>
      </rPr>
      <t>施</t>
    </r>
    <r>
      <rPr>
        <sz val="12"/>
        <rFont val="ＭＳ 明朝"/>
        <family val="1"/>
        <charset val="128"/>
      </rPr>
      <t xml:space="preserve">  </t>
    </r>
    <r>
      <rPr>
        <sz val="12"/>
        <rFont val="ＭＳ 明朝"/>
        <family val="1"/>
        <charset val="128"/>
      </rPr>
      <t>期</t>
    </r>
    <r>
      <rPr>
        <sz val="12"/>
        <rFont val="ＭＳ 明朝"/>
        <family val="1"/>
        <charset val="128"/>
      </rPr>
      <t xml:space="preserve">  </t>
    </r>
    <r>
      <rPr>
        <sz val="12"/>
        <rFont val="ＭＳ 明朝"/>
        <family val="1"/>
        <charset val="128"/>
      </rPr>
      <t>日</t>
    </r>
    <rPh sb="0" eb="1">
      <t>ジツ</t>
    </rPh>
    <rPh sb="3" eb="4">
      <t>シ</t>
    </rPh>
    <rPh sb="6" eb="7">
      <t>キ</t>
    </rPh>
    <rPh sb="9" eb="10">
      <t>ヒ</t>
    </rPh>
    <phoneticPr fontId="22"/>
  </si>
  <si>
    <t>通知７　当該地点群の適正な所要人員数</t>
    <rPh sb="0" eb="2">
      <t>ツウチ</t>
    </rPh>
    <rPh sb="4" eb="8">
      <t>トウガイチテン</t>
    </rPh>
    <rPh sb="8" eb="9">
      <t>グン</t>
    </rPh>
    <rPh sb="10" eb="12">
      <t>テキセイ</t>
    </rPh>
    <rPh sb="13" eb="14">
      <t>トコロ</t>
    </rPh>
    <rPh sb="14" eb="16">
      <t>ヨウジン</t>
    </rPh>
    <rPh sb="16" eb="18">
      <t>インズウ</t>
    </rPh>
    <phoneticPr fontId="2"/>
  </si>
  <si>
    <t>←料金改定時のみ</t>
    <rPh sb="1" eb="3">
      <t>リョウキン</t>
    </rPh>
    <rPh sb="3" eb="5">
      <t>カイテイ</t>
    </rPh>
    <rPh sb="5" eb="6">
      <t>トキ</t>
    </rPh>
    <phoneticPr fontId="2"/>
  </si>
  <si>
    <t>←都県コード</t>
    <rPh sb="1" eb="3">
      <t>トケン</t>
    </rPh>
    <phoneticPr fontId="2"/>
  </si>
  <si>
    <t>表－４－２　　１供給地点当たりの車両の標準投資額</t>
    <rPh sb="8" eb="10">
      <t>キョウキュウ</t>
    </rPh>
    <rPh sb="10" eb="12">
      <t>チテン</t>
    </rPh>
    <rPh sb="12" eb="13">
      <t>ア</t>
    </rPh>
    <rPh sb="16" eb="18">
      <t>シャリョウ</t>
    </rPh>
    <rPh sb="19" eb="21">
      <t>ヒョウジュン</t>
    </rPh>
    <phoneticPr fontId="2"/>
  </si>
  <si>
    <t>表－２　　１供給地点当たりの月平均販売量の標準値</t>
    <rPh sb="21" eb="24">
      <t>ヒョウジュンチ</t>
    </rPh>
    <phoneticPr fontId="2"/>
  </si>
  <si>
    <t>表－８　導管配分比率</t>
    <rPh sb="4" eb="6">
      <t>ドウカン</t>
    </rPh>
    <rPh sb="6" eb="8">
      <t>ハイブン</t>
    </rPh>
    <rPh sb="8" eb="10">
      <t>ヒリツ</t>
    </rPh>
    <phoneticPr fontId="2"/>
  </si>
  <si>
    <t>表－８　労務費及び車両配分比率</t>
    <rPh sb="4" eb="7">
      <t>ロウムヒ</t>
    </rPh>
    <rPh sb="7" eb="8">
      <t>オヨ</t>
    </rPh>
    <rPh sb="9" eb="11">
      <t>シャリョウ</t>
    </rPh>
    <rPh sb="11" eb="13">
      <t>ハイブン</t>
    </rPh>
    <rPh sb="13" eb="15">
      <t>ヒリツ</t>
    </rPh>
    <phoneticPr fontId="2"/>
  </si>
  <si>
    <t>※ 税率他</t>
    <rPh sb="2" eb="4">
      <t>ゼイリツ</t>
    </rPh>
    <rPh sb="4" eb="5">
      <t>ホカ</t>
    </rPh>
    <phoneticPr fontId="2"/>
  </si>
  <si>
    <t>※　需要構成率及び原価配賦基準</t>
    <phoneticPr fontId="2"/>
  </si>
  <si>
    <t>車両のリースを含めたその他経費の算定に係る説明書</t>
    <rPh sb="0" eb="2">
      <t>シャリョウ</t>
    </rPh>
    <rPh sb="7" eb="8">
      <t>フク</t>
    </rPh>
    <rPh sb="12" eb="13">
      <t>タ</t>
    </rPh>
    <rPh sb="13" eb="15">
      <t>ケイヒ</t>
    </rPh>
    <rPh sb="16" eb="18">
      <t>サンテイ</t>
    </rPh>
    <rPh sb="19" eb="20">
      <t>カカワ</t>
    </rPh>
    <rPh sb="21" eb="24">
      <t>セツメイショ</t>
    </rPh>
    <phoneticPr fontId="22"/>
  </si>
  <si>
    <t>地点数</t>
    <rPh sb="2" eb="3">
      <t>カズ</t>
    </rPh>
    <phoneticPr fontId="2"/>
  </si>
  <si>
    <t>年次</t>
    <rPh sb="0" eb="2">
      <t>ネンジ</t>
    </rPh>
    <phoneticPr fontId="2"/>
  </si>
  <si>
    <t>（1）北海道、青森、岩手県及び
  秋田県に所在する供給地点群</t>
    <rPh sb="3" eb="6">
      <t>ホッカイドウ</t>
    </rPh>
    <rPh sb="7" eb="9">
      <t>アオモリ</t>
    </rPh>
    <rPh sb="10" eb="13">
      <t>イワテケン</t>
    </rPh>
    <rPh sb="13" eb="14">
      <t>オヨ</t>
    </rPh>
    <rPh sb="18" eb="21">
      <t>アキタケン</t>
    </rPh>
    <rPh sb="22" eb="24">
      <t>ショザイ</t>
    </rPh>
    <rPh sb="26" eb="28">
      <t>キョウキュウ</t>
    </rPh>
    <rPh sb="28" eb="30">
      <t>チテン</t>
    </rPh>
    <rPh sb="30" eb="31">
      <t>グン</t>
    </rPh>
    <phoneticPr fontId="2"/>
  </si>
  <si>
    <t>（2）沖縄県に所在する供給地点群</t>
    <rPh sb="3" eb="6">
      <t>オキナワケン</t>
    </rPh>
    <rPh sb="7" eb="9">
      <t>ショザイ</t>
    </rPh>
    <rPh sb="11" eb="13">
      <t>キョウキュウ</t>
    </rPh>
    <rPh sb="13" eb="15">
      <t>チテン</t>
    </rPh>
    <rPh sb="15" eb="16">
      <t>グン</t>
    </rPh>
    <phoneticPr fontId="2"/>
  </si>
  <si>
    <t>（3）（1）及び（2）に掲げる以外の都道府県に所在する供給地点群</t>
    <rPh sb="6" eb="7">
      <t>オヨ</t>
    </rPh>
    <rPh sb="12" eb="13">
      <t>カカ</t>
    </rPh>
    <rPh sb="15" eb="17">
      <t>イガイ</t>
    </rPh>
    <rPh sb="18" eb="19">
      <t>ミヤコ</t>
    </rPh>
    <rPh sb="19" eb="22">
      <t>ドウフケン</t>
    </rPh>
    <rPh sb="23" eb="25">
      <t>ショザイ</t>
    </rPh>
    <rPh sb="27" eb="29">
      <t>キョウキュウ</t>
    </rPh>
    <rPh sb="29" eb="31">
      <t>チテン</t>
    </rPh>
    <rPh sb="31" eb="32">
      <t>グン</t>
    </rPh>
    <phoneticPr fontId="2"/>
  </si>
  <si>
    <t>い号、ろ号併用</t>
    <rPh sb="1" eb="2">
      <t>ゴウ</t>
    </rPh>
    <rPh sb="4" eb="5">
      <t>ゴウ</t>
    </rPh>
    <rPh sb="5" eb="7">
      <t>ヘイヨウ</t>
    </rPh>
    <phoneticPr fontId="2"/>
  </si>
  <si>
    <t>い号液化
石油ガス</t>
    <rPh sb="1" eb="2">
      <t>ゴウ</t>
    </rPh>
    <rPh sb="2" eb="4">
      <t>エキカ</t>
    </rPh>
    <rPh sb="5" eb="7">
      <t>セキユ</t>
    </rPh>
    <phoneticPr fontId="2"/>
  </si>
  <si>
    <t>ろ号液化
石油ガス</t>
    <rPh sb="1" eb="2">
      <t>ゴウ</t>
    </rPh>
    <rPh sb="2" eb="4">
      <t>エキカ</t>
    </rPh>
    <rPh sb="5" eb="7">
      <t>セキユ</t>
    </rPh>
    <phoneticPr fontId="2"/>
  </si>
  <si>
    <t xml:space="preserve">
使用原料</t>
    <rPh sb="1" eb="3">
      <t>シヨウ</t>
    </rPh>
    <rPh sb="3" eb="5">
      <t>ゲンリョウ</t>
    </rPh>
    <phoneticPr fontId="2"/>
  </si>
  <si>
    <t xml:space="preserve">
  所在地</t>
    <rPh sb="4" eb="7">
      <t>ショザイチ</t>
    </rPh>
    <phoneticPr fontId="2"/>
  </si>
  <si>
    <t>表－５　　産気率</t>
    <rPh sb="5" eb="6">
      <t>サン</t>
    </rPh>
    <rPh sb="6" eb="7">
      <t>キ</t>
    </rPh>
    <rPh sb="7" eb="8">
      <t>リツ</t>
    </rPh>
    <phoneticPr fontId="2"/>
  </si>
  <si>
    <t>需要家</t>
    <rPh sb="0" eb="3">
      <t>ジュヨウカ</t>
    </rPh>
    <phoneticPr fontId="2"/>
  </si>
  <si>
    <t>契約種類</t>
    <rPh sb="0" eb="2">
      <t>ケイヤク</t>
    </rPh>
    <rPh sb="2" eb="4">
      <t>シュルイ</t>
    </rPh>
    <phoneticPr fontId="2"/>
  </si>
  <si>
    <t>(４)合計</t>
    <phoneticPr fontId="2"/>
  </si>
  <si>
    <t>料金適用月数</t>
    <rPh sb="0" eb="2">
      <t>リョウキン</t>
    </rPh>
    <rPh sb="2" eb="4">
      <t>テキヨウ</t>
    </rPh>
    <rPh sb="4" eb="5">
      <t>ツキ</t>
    </rPh>
    <rPh sb="5" eb="6">
      <t>スウ</t>
    </rPh>
    <phoneticPr fontId="2"/>
  </si>
  <si>
    <t>延需要家数</t>
    <rPh sb="0" eb="1">
      <t>ノ</t>
    </rPh>
    <phoneticPr fontId="2"/>
  </si>
  <si>
    <t>－</t>
    <phoneticPr fontId="2"/>
  </si>
  <si>
    <r>
      <t xml:space="preserve"> </t>
    </r>
    <r>
      <rPr>
        <sz val="12"/>
        <rFont val="ＭＳ 明朝"/>
        <family val="1"/>
        <charset val="128"/>
      </rPr>
      <t>0</t>
    </r>
    <r>
      <rPr>
        <sz val="12"/>
        <rFont val="ＭＳ 明朝"/>
        <family val="1"/>
        <charset val="128"/>
      </rPr>
      <t>㎥から</t>
    </r>
    <phoneticPr fontId="2"/>
  </si>
  <si>
    <t>㎥</t>
    <phoneticPr fontId="2"/>
  </si>
  <si>
    <t>厨房給湯暖房</t>
    <rPh sb="0" eb="2">
      <t>チュウボウ</t>
    </rPh>
    <rPh sb="2" eb="4">
      <t>キュウトウ</t>
    </rPh>
    <rPh sb="4" eb="6">
      <t>ダンボウ</t>
    </rPh>
    <phoneticPr fontId="2"/>
  </si>
  <si>
    <t>IF(AVERAGE(K28,L28,M28,N28,O28,P28,Q28,R28)=0,J28,IF(AND(基本入力!C$32=0,AVERAGE(L28,M28,N28,O28,P28,Q28,R28)=0),K28,IF(AND(基本入力!C$32=0,AVERAGE(K28,M28,N28,O28,P28,Q28,R28)=0),L28,IF(AND(基本入力!C$32=0,AVERAGE(K28,L28,N28,O28,P28,Q28,R28)=0),M28,IF(AND(基本入力!C$32=0,AVERAGE(K28,L28,M28,O28,P28,Q28,R28)=0),N28,IF(AND(基本入力!C$32=0,AVERAGE(K28,L28,M28,N28,P28,Q28,R28)=0),O28,"   （個別）"))))))</t>
  </si>
  <si>
    <t>IF(AVERAGE(K28,L28,M28,N28,O28,P28,Q28,R28)=0,J28,IF(AND(基本入力!C$32=0,AVERAGE(L28,M28,N28,O28,P28,Q28,R28)=0),K28,IF(AND(基本入力!C$32=0,AVERAGE(K28,M28,N28,O28,P28,Q28,R28)=0),L28,IF(AND(基本入力!C$32=0,AVERAGE(K28,L28,N28,O28,P28,Q28,R28)=0),M28,IF(AND(基本入力!C$32=0,AVERAGE(K28,L28,M28,O28,P28,Q28,R28)=0),N28,IF(AND(基本入力!C$32=0,AVERAGE(K28,L28,M28,N28,P28,Q28,R28)=0),O28,"   （個別）"))))))</t>
    <phoneticPr fontId="22"/>
  </si>
  <si>
    <t xml:space="preserve"> 供給形態　50kg.容器:0/バルク貯槽:1       →</t>
    <rPh sb="1" eb="3">
      <t>キョウキュウ</t>
    </rPh>
    <rPh sb="3" eb="5">
      <t>ケイタイ</t>
    </rPh>
    <rPh sb="11" eb="13">
      <t>ヨウキ</t>
    </rPh>
    <rPh sb="19" eb="21">
      <t>チョソウ</t>
    </rPh>
    <phoneticPr fontId="2"/>
  </si>
  <si>
    <t xml:space="preserve"> 導管の種類　鋼管:0/PE管:1/混在:2</t>
    <rPh sb="18" eb="20">
      <t>コンザイ</t>
    </rPh>
    <phoneticPr fontId="2"/>
  </si>
  <si>
    <t>混在</t>
    <rPh sb="0" eb="2">
      <t>コンザイ</t>
    </rPh>
    <phoneticPr fontId="2"/>
  </si>
  <si>
    <t>原 料 購 入 実 績</t>
    <rPh sb="0" eb="1">
      <t>ハラ</t>
    </rPh>
    <rPh sb="2" eb="3">
      <t>リョウ</t>
    </rPh>
    <rPh sb="4" eb="5">
      <t>コウ</t>
    </rPh>
    <rPh sb="6" eb="7">
      <t>イリ</t>
    </rPh>
    <rPh sb="8" eb="9">
      <t>ジツ</t>
    </rPh>
    <rPh sb="10" eb="11">
      <t>ツムギ</t>
    </rPh>
    <phoneticPr fontId="22"/>
  </si>
  <si>
    <t>購入数量（kg.）</t>
    <rPh sb="0" eb="2">
      <t>コウニュウ</t>
    </rPh>
    <rPh sb="2" eb="4">
      <t>スウリョウ</t>
    </rPh>
    <phoneticPr fontId="22"/>
  </si>
  <si>
    <t>購入金額（円）</t>
    <rPh sb="0" eb="2">
      <t>コウニュウ</t>
    </rPh>
    <rPh sb="2" eb="4">
      <t>キンガク</t>
    </rPh>
    <rPh sb="5" eb="6">
      <t>エン</t>
    </rPh>
    <phoneticPr fontId="22"/>
  </si>
  <si>
    <t>購入単価（円／kg.）</t>
    <rPh sb="0" eb="2">
      <t>コウニュウ</t>
    </rPh>
    <rPh sb="2" eb="4">
      <t>タンカ</t>
    </rPh>
    <rPh sb="5" eb="6">
      <t>エン</t>
    </rPh>
    <phoneticPr fontId="22"/>
  </si>
  <si>
    <t>償却資産の区分 しない:0/する:1(通常0)</t>
  </si>
  <si>
    <t xml:space="preserve">公私の区分　公営:0/私営:1 </t>
    <phoneticPr fontId="2"/>
  </si>
  <si>
    <t xml:space="preserve">固定資産の減免措置　有:0/無:1 </t>
    <phoneticPr fontId="2"/>
  </si>
  <si>
    <t>IF(AVERAGE(K26,L26,M26,N26,O26,P26,Q26,R26)=0,J26,IF(AND(基本入力!C$32=0,AVERAGE(L26,M26,N26,O26,P26,Q26,R26)=0),K26,IF(AND(基本入力!C$32=0,AVERAGE(K26,M26,N26,O26,P26,Q26,R26)=0),L26,IF(AND(基本入力!C$32=0,AVERAGE(K26,L26,N26,O26,P26,Q26,R26)=0),M26,IF(AND(基本入力!C$32=0,AVERAGE(K26,L26,M26,O26,P26,Q26,R26)=0),N26,IF(AND(基本入力!C$32=0,AVERAGE(K26,L26,M26,N26,P26,Q26,R26)=0),O26,"   （個別）"))))))</t>
  </si>
  <si>
    <t>実施期日</t>
    <rPh sb="0" eb="2">
      <t>ジッシ</t>
    </rPh>
    <rPh sb="2" eb="4">
      <t>キジツ</t>
    </rPh>
    <phoneticPr fontId="2"/>
  </si>
  <si>
    <t>IF(AVERAGE(K27,L27,M27,N27,O27,P27,Q27,R27)=0,J27,IF(AND(基本入力!C$32=0,AVERAGE(L27,M27,N27,O27,P27,Q27,R27)=0),K27,IF(AND(基本入力!C$32=0,AVERAGE(K27,M27,N27,O27,P27,Q27,R27)=0),L27,IF(AND(基本入力!C$32=0,AVERAGE(K27,L27,N27,O27,P27,Q27,R27)=0),M27,IF(AND(基本入力!C$32=0,AVERAGE(K27,L27,M27,O27,P27,Q27,R27)=0),N27,IF(AND(基本入力!C$32=0,AVERAGE(K27,L27,M27,N27,P27,Q27,R27)=0),O27,"   （個別）"))))))</t>
  </si>
  <si>
    <t>IF(AVERAGE(K29,L29,M29,N29,O29,P29,Q29,R29)=0,J29,IF(AND(基本入力!C$32=0,AVERAGE(L29,M29,N29,O29,P29,Q29,R29)=0),K29,IF(AND(基本入力!C$32=0,AVERAGE(K29,M29,N29,O29,P29,Q29,R29)=0),L29,IF(AND(基本入力!C$32=0,AVERAGE(K29,L29,N29,O29,P29,Q29,R29)=0),M29,IF(AND(基本入力!C$32=0,AVERAGE(K29,L29,M29,O29,P29,Q29,R29)=0),N29,IF(AND(基本入力!C$32=0,AVERAGE(K29,L29,M29,N29,P29,Q29,R29)=0),O29,"   （個別）"))))))</t>
  </si>
  <si>
    <t>②　車両リース費用に係るその他経費</t>
    <rPh sb="2" eb="4">
      <t>シャリョウ</t>
    </rPh>
    <rPh sb="7" eb="9">
      <t>ヒヨウ</t>
    </rPh>
    <rPh sb="10" eb="11">
      <t>カカワ</t>
    </rPh>
    <rPh sb="14" eb="15">
      <t>タ</t>
    </rPh>
    <rPh sb="15" eb="17">
      <t>ケイヒ</t>
    </rPh>
    <phoneticPr fontId="22"/>
  </si>
  <si>
    <t>①　車両リース費用を除くその他経費</t>
    <rPh sb="2" eb="4">
      <t>シャリョウ</t>
    </rPh>
    <rPh sb="7" eb="9">
      <t>ヒヨウ</t>
    </rPh>
    <rPh sb="10" eb="11">
      <t>ノゾ</t>
    </rPh>
    <rPh sb="14" eb="15">
      <t>タ</t>
    </rPh>
    <rPh sb="15" eb="17">
      <t>ケイヒ</t>
    </rPh>
    <phoneticPr fontId="22"/>
  </si>
  <si>
    <t>　　　　費用に係るその他経費とする。</t>
    <rPh sb="4" eb="5">
      <t>ヒ</t>
    </rPh>
    <rPh sb="5" eb="6">
      <t>ヨウ</t>
    </rPh>
    <rPh sb="7" eb="8">
      <t>カカワ</t>
    </rPh>
    <rPh sb="11" eb="12">
      <t>タ</t>
    </rPh>
    <rPh sb="12" eb="14">
      <t>ケイヒ</t>
    </rPh>
    <phoneticPr fontId="22"/>
  </si>
  <si>
    <t>　建物及び償却資産投資額(B⑦-B④-B⑤)　×　修繕費率(e1)　＝　修繕費(E①)</t>
    <rPh sb="1" eb="3">
      <t>タテモノ</t>
    </rPh>
    <rPh sb="3" eb="4">
      <t>オヨ</t>
    </rPh>
    <phoneticPr fontId="2"/>
  </si>
  <si>
    <t>円</t>
    <rPh sb="0" eb="1">
      <t>エン</t>
    </rPh>
    <phoneticPr fontId="22"/>
  </si>
  <si>
    <t>車両投資額</t>
    <rPh sb="0" eb="2">
      <t>シャリョウ</t>
    </rPh>
    <rPh sb="2" eb="4">
      <t>トウシ</t>
    </rPh>
    <rPh sb="4" eb="5">
      <t>ガク</t>
    </rPh>
    <phoneticPr fontId="22"/>
  </si>
  <si>
    <t>車両投資をｵﾍﾟﾚｰﾃﾝｸﾞﾘｰｽ YES:1</t>
    <rPh sb="0" eb="2">
      <t>シャリョウ</t>
    </rPh>
    <rPh sb="2" eb="4">
      <t>トウシ</t>
    </rPh>
    <phoneticPr fontId="2"/>
  </si>
  <si>
    <t>　　　　その他経費それぞれの相当額と同等であるとの考え方から、以下の総和を車両リース</t>
    <rPh sb="6" eb="7">
      <t>タ</t>
    </rPh>
    <rPh sb="7" eb="9">
      <t>ケイヒ</t>
    </rPh>
    <rPh sb="14" eb="16">
      <t>ソウトウ</t>
    </rPh>
    <rPh sb="16" eb="17">
      <t>ガク</t>
    </rPh>
    <rPh sb="18" eb="20">
      <t>ドウトウ</t>
    </rPh>
    <rPh sb="25" eb="26">
      <t>カンガ</t>
    </rPh>
    <rPh sb="27" eb="28">
      <t>カタ</t>
    </rPh>
    <rPh sb="31" eb="33">
      <t>イカ</t>
    </rPh>
    <rPh sb="34" eb="36">
      <t>ソウワ</t>
    </rPh>
    <rPh sb="37" eb="39">
      <t>シャリョウ</t>
    </rPh>
    <phoneticPr fontId="22"/>
  </si>
  <si>
    <t>車両ﾘｰｽに費用に係るその他経費　＝（１）+（２）+（３）+（４）</t>
    <rPh sb="0" eb="2">
      <t>シャリョウ</t>
    </rPh>
    <rPh sb="6" eb="7">
      <t>ヒ</t>
    </rPh>
    <rPh sb="7" eb="8">
      <t>ヨウ</t>
    </rPh>
    <rPh sb="9" eb="10">
      <t>カカワ</t>
    </rPh>
    <rPh sb="13" eb="14">
      <t>タ</t>
    </rPh>
    <rPh sb="14" eb="16">
      <t>ケイヒ</t>
    </rPh>
    <phoneticPr fontId="22"/>
  </si>
  <si>
    <t>③その他経費の額</t>
    <rPh sb="3" eb="4">
      <t>タ</t>
    </rPh>
    <rPh sb="4" eb="6">
      <t>ケイヒ</t>
    </rPh>
    <rPh sb="7" eb="8">
      <t>ガク</t>
    </rPh>
    <phoneticPr fontId="22"/>
  </si>
  <si>
    <t>（１）修繕費相当額　＝　車両投資額相当額　×　修繕費率</t>
    <rPh sb="3" eb="6">
      <t>シュウゼンヒ</t>
    </rPh>
    <rPh sb="6" eb="8">
      <t>ソウトウ</t>
    </rPh>
    <rPh sb="8" eb="9">
      <t>ガク</t>
    </rPh>
    <rPh sb="12" eb="14">
      <t>シャリョウ</t>
    </rPh>
    <rPh sb="17" eb="19">
      <t>ソウトウ</t>
    </rPh>
    <rPh sb="19" eb="20">
      <t>ガク</t>
    </rPh>
    <phoneticPr fontId="22"/>
  </si>
  <si>
    <t>（２）減価償却費相当額　＝　車両投資額相当額　×　償却率</t>
    <rPh sb="3" eb="5">
      <t>ゲンカ</t>
    </rPh>
    <rPh sb="5" eb="7">
      <t>ショウキャク</t>
    </rPh>
    <rPh sb="7" eb="8">
      <t>ヒ</t>
    </rPh>
    <rPh sb="8" eb="10">
      <t>ソウトウ</t>
    </rPh>
    <rPh sb="10" eb="11">
      <t>ガク</t>
    </rPh>
    <rPh sb="14" eb="16">
      <t>シャリョウ</t>
    </rPh>
    <rPh sb="16" eb="18">
      <t>トウシ</t>
    </rPh>
    <rPh sb="18" eb="19">
      <t>ガク</t>
    </rPh>
    <rPh sb="19" eb="21">
      <t>ソウトウ</t>
    </rPh>
    <rPh sb="21" eb="22">
      <t>ガク</t>
    </rPh>
    <rPh sb="25" eb="28">
      <t>ショウキャクリツ</t>
    </rPh>
    <phoneticPr fontId="22"/>
  </si>
  <si>
    <t>（３）固定資産税相当額＝車両投資額相当額×1/２×地方税法に定める標準税率</t>
    <rPh sb="3" eb="5">
      <t>コテイ</t>
    </rPh>
    <rPh sb="5" eb="8">
      <t>シサンゼイ</t>
    </rPh>
    <rPh sb="8" eb="10">
      <t>ソウトウ</t>
    </rPh>
    <rPh sb="10" eb="11">
      <t>ガク</t>
    </rPh>
    <rPh sb="12" eb="14">
      <t>シャリョウ</t>
    </rPh>
    <rPh sb="14" eb="16">
      <t>トウシ</t>
    </rPh>
    <rPh sb="16" eb="17">
      <t>ガク</t>
    </rPh>
    <rPh sb="17" eb="19">
      <t>ソウトウ</t>
    </rPh>
    <rPh sb="19" eb="20">
      <t>ガク</t>
    </rPh>
    <rPh sb="25" eb="28">
      <t>チホウゼイ</t>
    </rPh>
    <rPh sb="28" eb="29">
      <t>ホウ</t>
    </rPh>
    <rPh sb="30" eb="31">
      <t>サダ</t>
    </rPh>
    <rPh sb="33" eb="35">
      <t>ヒョウジュン</t>
    </rPh>
    <rPh sb="35" eb="37">
      <t>ゼイリツ</t>
    </rPh>
    <phoneticPr fontId="22"/>
  </si>
  <si>
    <t>（４）その他経費相当額＝（修繕費相当額+減価償却費相当額+固定資産税相当額）×諸経費率</t>
    <rPh sb="5" eb="6">
      <t>タ</t>
    </rPh>
    <rPh sb="6" eb="8">
      <t>ケイヒ</t>
    </rPh>
    <rPh sb="8" eb="10">
      <t>ソウトウ</t>
    </rPh>
    <rPh sb="10" eb="11">
      <t>ガク</t>
    </rPh>
    <rPh sb="13" eb="16">
      <t>シュウゼンヒ</t>
    </rPh>
    <rPh sb="16" eb="18">
      <t>ソウトウ</t>
    </rPh>
    <rPh sb="18" eb="19">
      <t>ガク</t>
    </rPh>
    <rPh sb="20" eb="22">
      <t>ゲンカ</t>
    </rPh>
    <rPh sb="22" eb="24">
      <t>ショウキャク</t>
    </rPh>
    <rPh sb="24" eb="25">
      <t>ヒ</t>
    </rPh>
    <rPh sb="25" eb="27">
      <t>ソウトウ</t>
    </rPh>
    <rPh sb="27" eb="28">
      <t>ガク</t>
    </rPh>
    <rPh sb="29" eb="31">
      <t>コテイ</t>
    </rPh>
    <rPh sb="31" eb="34">
      <t>シサンゼイ</t>
    </rPh>
    <rPh sb="34" eb="36">
      <t>ソウトウ</t>
    </rPh>
    <rPh sb="36" eb="37">
      <t>ガク</t>
    </rPh>
    <rPh sb="39" eb="42">
      <t>ショケイヒ</t>
    </rPh>
    <rPh sb="42" eb="43">
      <t>リツ</t>
    </rPh>
    <phoneticPr fontId="22"/>
  </si>
  <si>
    <t>※投資がある場合、全て左詰め入力（地点数はC52･C53の内数）（単年取替の場合はC52～E53のみ入力）</t>
    <rPh sb="1" eb="3">
      <t>トウシ</t>
    </rPh>
    <rPh sb="6" eb="8">
      <t>バアイ</t>
    </rPh>
    <rPh sb="9" eb="10">
      <t>スベ</t>
    </rPh>
    <rPh sb="11" eb="13">
      <t>ヒダリヅメ</t>
    </rPh>
    <rPh sb="14" eb="16">
      <t>ニュウリョク</t>
    </rPh>
    <rPh sb="17" eb="19">
      <t>チテン</t>
    </rPh>
    <rPh sb="19" eb="20">
      <t>スウ</t>
    </rPh>
    <rPh sb="29" eb="31">
      <t>ウチスウ</t>
    </rPh>
    <rPh sb="33" eb="34">
      <t>タン</t>
    </rPh>
    <rPh sb="34" eb="35">
      <t>ドシ</t>
    </rPh>
    <rPh sb="35" eb="37">
      <t>トリカ</t>
    </rPh>
    <rPh sb="38" eb="40">
      <t>バアイ</t>
    </rPh>
    <rPh sb="50" eb="52">
      <t>ニュウリョク</t>
    </rPh>
    <phoneticPr fontId="2"/>
  </si>
  <si>
    <t>平均販売量</t>
    <rPh sb="0" eb="2">
      <t>ヘイキン</t>
    </rPh>
    <rPh sb="2" eb="4">
      <t>ハンバイ</t>
    </rPh>
    <rPh sb="4" eb="5">
      <t>リョウ</t>
    </rPh>
    <phoneticPr fontId="2"/>
  </si>
  <si>
    <t>←想定販売量との差</t>
    <rPh sb="1" eb="3">
      <t>ソウテイ</t>
    </rPh>
    <rPh sb="3" eb="5">
      <t>ハンバイ</t>
    </rPh>
    <rPh sb="5" eb="6">
      <t>リョウ</t>
    </rPh>
    <rPh sb="8" eb="9">
      <t>サ</t>
    </rPh>
    <phoneticPr fontId="2"/>
  </si>
  <si>
    <t>←（総原価－年間販売金額）÷想定販売量との差</t>
    <rPh sb="2" eb="3">
      <t>ソウ</t>
    </rPh>
    <rPh sb="3" eb="5">
      <t>ゲンカ</t>
    </rPh>
    <rPh sb="6" eb="8">
      <t>ネンカン</t>
    </rPh>
    <rPh sb="8" eb="10">
      <t>ハンバイ</t>
    </rPh>
    <rPh sb="10" eb="12">
      <t>キンガク</t>
    </rPh>
    <rPh sb="14" eb="16">
      <t>ソウテイ</t>
    </rPh>
    <rPh sb="16" eb="18">
      <t>ハンバイ</t>
    </rPh>
    <rPh sb="18" eb="19">
      <t>リョウ</t>
    </rPh>
    <rPh sb="21" eb="22">
      <t>サ</t>
    </rPh>
    <phoneticPr fontId="2"/>
  </si>
  <si>
    <t>件</t>
    <rPh sb="0" eb="1">
      <t>ケン</t>
    </rPh>
    <phoneticPr fontId="2"/>
  </si>
  <si>
    <t>㎥</t>
    <phoneticPr fontId="2"/>
  </si>
  <si>
    <t>㎥/月・件</t>
    <rPh sb="2" eb="3">
      <t>ツキ</t>
    </rPh>
    <rPh sb="4" eb="5">
      <t>ケン</t>
    </rPh>
    <phoneticPr fontId="2"/>
  </si>
  <si>
    <t>税込基本</t>
    <rPh sb="0" eb="2">
      <t>ゼイコ</t>
    </rPh>
    <rPh sb="2" eb="4">
      <t>キホン</t>
    </rPh>
    <phoneticPr fontId="2"/>
  </si>
  <si>
    <t>税込基準</t>
    <rPh sb="0" eb="2">
      <t>ゼイコ</t>
    </rPh>
    <rPh sb="2" eb="4">
      <t>キジュン</t>
    </rPh>
    <phoneticPr fontId="2"/>
  </si>
  <si>
    <t>共同(鋼管)</t>
    <rPh sb="3" eb="4">
      <t>コウ</t>
    </rPh>
    <phoneticPr fontId="2"/>
  </si>
  <si>
    <t>単独(鋼管)</t>
    <rPh sb="3" eb="4">
      <t>コウ</t>
    </rPh>
    <phoneticPr fontId="2"/>
  </si>
  <si>
    <t>導管(鋼管共同)</t>
    <rPh sb="3" eb="4">
      <t>コウ</t>
    </rPh>
    <rPh sb="4" eb="5">
      <t>カン</t>
    </rPh>
    <phoneticPr fontId="2"/>
  </si>
  <si>
    <t>　〃(鋼管単独)</t>
    <rPh sb="3" eb="4">
      <t>コウ</t>
    </rPh>
    <rPh sb="4" eb="5">
      <t>カン</t>
    </rPh>
    <phoneticPr fontId="2"/>
  </si>
  <si>
    <t>30㎥料金↑</t>
    <rPh sb="3" eb="5">
      <t>リョウキン</t>
    </rPh>
    <phoneticPr fontId="2"/>
  </si>
  <si>
    <t>←Ｃ群年間販売金額（上限30㎥仮定）</t>
    <rPh sb="2" eb="3">
      <t>グン</t>
    </rPh>
    <rPh sb="3" eb="5">
      <t>ネンカン</t>
    </rPh>
    <rPh sb="5" eb="7">
      <t>ハンバイ</t>
    </rPh>
    <rPh sb="7" eb="9">
      <t>キンガク</t>
    </rPh>
    <rPh sb="10" eb="12">
      <t>ジョウゲン</t>
    </rPh>
    <rPh sb="15" eb="17">
      <t>カテイ</t>
    </rPh>
    <phoneticPr fontId="2"/>
  </si>
  <si>
    <t>←年間販売金額（上限30㎥仮定）</t>
    <rPh sb="1" eb="3">
      <t>ネンカン</t>
    </rPh>
    <rPh sb="3" eb="5">
      <t>ハンバイ</t>
    </rPh>
    <rPh sb="5" eb="7">
      <t>キンガク</t>
    </rPh>
    <rPh sb="8" eb="10">
      <t>ジョウゲン</t>
    </rPh>
    <rPh sb="13" eb="15">
      <t>カテイ</t>
    </rPh>
    <phoneticPr fontId="2"/>
  </si>
  <si>
    <r>
      <t>←</t>
    </r>
    <r>
      <rPr>
        <sz val="12"/>
        <rFont val="ＭＳ 明朝"/>
        <family val="1"/>
        <charset val="128"/>
      </rPr>
      <t>Ｃ</t>
    </r>
    <r>
      <rPr>
        <sz val="12"/>
        <rFont val="ＭＳ 明朝"/>
        <family val="1"/>
        <charset val="128"/>
      </rPr>
      <t>群基本料金（</t>
    </r>
    <r>
      <rPr>
        <sz val="12"/>
        <rFont val="ＭＳ 明朝"/>
        <family val="1"/>
        <charset val="128"/>
      </rPr>
      <t>30㎥料金－（30㎥×従量料金））</t>
    </r>
    <rPh sb="2" eb="3">
      <t>グン</t>
    </rPh>
    <rPh sb="3" eb="5">
      <t>キホン</t>
    </rPh>
    <rPh sb="5" eb="7">
      <t>リョウキン</t>
    </rPh>
    <rPh sb="11" eb="13">
      <t>リョウキン</t>
    </rPh>
    <rPh sb="19" eb="21">
      <t>ジュウリョウ</t>
    </rPh>
    <rPh sb="21" eb="23">
      <t>リョウキン</t>
    </rPh>
    <phoneticPr fontId="2"/>
  </si>
  <si>
    <t xml:space="preserve">Ａ群基本料金      </t>
    <rPh sb="1" eb="2">
      <t>グン</t>
    </rPh>
    <rPh sb="2" eb="4">
      <t>キホン</t>
    </rPh>
    <rPh sb="4" eb="6">
      <t>リョウキン</t>
    </rPh>
    <phoneticPr fontId="2"/>
  </si>
  <si>
    <t xml:space="preserve">Ａ群基準単位料金  </t>
    <rPh sb="1" eb="2">
      <t>グン</t>
    </rPh>
    <rPh sb="2" eb="4">
      <t>キジュン</t>
    </rPh>
    <rPh sb="4" eb="6">
      <t>タンイ</t>
    </rPh>
    <rPh sb="6" eb="8">
      <t>リョウキン</t>
    </rPh>
    <phoneticPr fontId="2"/>
  </si>
  <si>
    <t xml:space="preserve">Ｂ群基本料金      </t>
    <rPh sb="1" eb="2">
      <t>グン</t>
    </rPh>
    <rPh sb="2" eb="4">
      <t>キホン</t>
    </rPh>
    <rPh sb="4" eb="6">
      <t>リョウキン</t>
    </rPh>
    <phoneticPr fontId="2"/>
  </si>
  <si>
    <t>※複数二部料金展開への参考料金</t>
    <rPh sb="1" eb="3">
      <t>フクスウ</t>
    </rPh>
    <rPh sb="3" eb="5">
      <t>２ブ</t>
    </rPh>
    <rPh sb="5" eb="7">
      <t>リョウキン</t>
    </rPh>
    <rPh sb="7" eb="9">
      <t>テンカイ</t>
    </rPh>
    <rPh sb="11" eb="13">
      <t>サンコウ</t>
    </rPh>
    <rPh sb="13" eb="15">
      <t>リョウキン</t>
    </rPh>
    <phoneticPr fontId="2"/>
  </si>
  <si>
    <t>（参考）需要構成率</t>
    <rPh sb="1" eb="3">
      <t>サンコウ</t>
    </rPh>
    <rPh sb="4" eb="6">
      <t>ジュヨウ</t>
    </rPh>
    <rPh sb="6" eb="9">
      <t>コウセイリツ</t>
    </rPh>
    <phoneticPr fontId="2"/>
  </si>
  <si>
    <t>↓年目</t>
    <phoneticPr fontId="2"/>
  </si>
  <si>
    <t>2~7</t>
    <phoneticPr fontId="2"/>
  </si>
  <si>
    <t>21~23</t>
    <phoneticPr fontId="2"/>
  </si>
  <si>
    <t>19~20</t>
    <phoneticPr fontId="2"/>
  </si>
  <si>
    <t>24~30</t>
    <phoneticPr fontId="2"/>
  </si>
  <si>
    <t>31~35</t>
    <phoneticPr fontId="2"/>
  </si>
  <si>
    <t>36~39</t>
    <phoneticPr fontId="2"/>
  </si>
  <si>
    <t>40~46</t>
    <phoneticPr fontId="2"/>
  </si>
  <si>
    <t>投　資　額②
（円）</t>
    <rPh sb="8" eb="9">
      <t>エン</t>
    </rPh>
    <phoneticPr fontId="2"/>
  </si>
  <si>
    <t>投　資　額①
（円）</t>
    <rPh sb="8" eb="9">
      <t>エン</t>
    </rPh>
    <phoneticPr fontId="2"/>
  </si>
  <si>
    <t>※実績に応じて変更可</t>
    <rPh sb="1" eb="3">
      <t>ジッセキ</t>
    </rPh>
    <rPh sb="4" eb="5">
      <t>オウ</t>
    </rPh>
    <rPh sb="7" eb="9">
      <t>ヘンコウ</t>
    </rPh>
    <rPh sb="9" eb="10">
      <t>カ</t>
    </rPh>
    <phoneticPr fontId="2"/>
  </si>
  <si>
    <t>H18</t>
    <phoneticPr fontId="22"/>
  </si>
  <si>
    <t>÷</t>
    <phoneticPr fontId="77"/>
  </si>
  <si>
    <t>＝</t>
    <phoneticPr fontId="77"/>
  </si>
  <si>
    <t>（※）変更前料金収入</t>
    <rPh sb="3" eb="5">
      <t>ヘンコウ</t>
    </rPh>
    <rPh sb="5" eb="6">
      <t>マエ</t>
    </rPh>
    <rPh sb="6" eb="8">
      <t>リョウキン</t>
    </rPh>
    <rPh sb="8" eb="10">
      <t>シュウニュウ</t>
    </rPh>
    <phoneticPr fontId="77"/>
  </si>
  <si>
    <t>料金種別ごとに以下の式により算定された額の合計額とする。</t>
    <rPh sb="0" eb="2">
      <t>リョウキン</t>
    </rPh>
    <rPh sb="2" eb="4">
      <t>シュベツ</t>
    </rPh>
    <rPh sb="7" eb="9">
      <t>イカ</t>
    </rPh>
    <rPh sb="10" eb="11">
      <t>シキ</t>
    </rPh>
    <rPh sb="14" eb="16">
      <t>サンテイ</t>
    </rPh>
    <rPh sb="19" eb="20">
      <t>ガク</t>
    </rPh>
    <rPh sb="21" eb="23">
      <t>ゴウケイ</t>
    </rPh>
    <rPh sb="23" eb="24">
      <t>ガク</t>
    </rPh>
    <phoneticPr fontId="77"/>
  </si>
  <si>
    <t>基本料金［変更前］×原価（原資）算定期間中の延調定件数その他需要想定＋</t>
    <rPh sb="0" eb="2">
      <t>キホン</t>
    </rPh>
    <rPh sb="2" eb="4">
      <t>リョウキン</t>
    </rPh>
    <rPh sb="5" eb="7">
      <t>ヘンコウ</t>
    </rPh>
    <rPh sb="7" eb="8">
      <t>マエ</t>
    </rPh>
    <rPh sb="10" eb="12">
      <t>ゲンカ</t>
    </rPh>
    <rPh sb="13" eb="15">
      <t>ゲンシ</t>
    </rPh>
    <rPh sb="16" eb="18">
      <t>サンテイ</t>
    </rPh>
    <rPh sb="18" eb="20">
      <t>キカン</t>
    </rPh>
    <rPh sb="20" eb="21">
      <t>チュウ</t>
    </rPh>
    <rPh sb="22" eb="23">
      <t>ノ</t>
    </rPh>
    <rPh sb="23" eb="24">
      <t>チョウ</t>
    </rPh>
    <rPh sb="24" eb="25">
      <t>サダム</t>
    </rPh>
    <rPh sb="25" eb="27">
      <t>ケンスウ</t>
    </rPh>
    <rPh sb="29" eb="30">
      <t>タ</t>
    </rPh>
    <rPh sb="30" eb="32">
      <t>ジュヨウ</t>
    </rPh>
    <rPh sb="32" eb="34">
      <t>ソウテイ</t>
    </rPh>
    <phoneticPr fontId="77"/>
  </si>
  <si>
    <t>基本料金</t>
    <rPh sb="0" eb="2">
      <t>キホン</t>
    </rPh>
    <rPh sb="2" eb="4">
      <t>リョウキン</t>
    </rPh>
    <phoneticPr fontId="77"/>
  </si>
  <si>
    <t>×</t>
    <phoneticPr fontId="77"/>
  </si>
  <si>
    <t>合</t>
    <rPh sb="0" eb="1">
      <t>ゴウ</t>
    </rPh>
    <phoneticPr fontId="77"/>
  </si>
  <si>
    <t>新</t>
    <phoneticPr fontId="77"/>
  </si>
  <si>
    <t>(届出）供給約款料金原価</t>
    <phoneticPr fontId="77"/>
  </si>
  <si>
    <t>原価（原資）算定期間中の供給約款ガス販売量</t>
    <phoneticPr fontId="77"/>
  </si>
  <si>
    <t>÷</t>
    <phoneticPr fontId="77"/>
  </si>
  <si>
    <t>＝</t>
    <phoneticPr fontId="77"/>
  </si>
  <si>
    <t>旧</t>
    <phoneticPr fontId="77"/>
  </si>
  <si>
    <t>（届出）供給約款料金の変更前料金収入（※）</t>
    <phoneticPr fontId="77"/>
  </si>
  <si>
    <t>÷</t>
    <phoneticPr fontId="77"/>
  </si>
  <si>
    <t>＝</t>
    <phoneticPr fontId="77"/>
  </si>
  <si>
    <t>旧</t>
    <phoneticPr fontId="77"/>
  </si>
  <si>
    <t>(新)平均単価</t>
    <phoneticPr fontId="77"/>
  </si>
  <si>
    <t>改定率</t>
    <phoneticPr fontId="77"/>
  </si>
  <si>
    <t>(旧)平均単価</t>
    <phoneticPr fontId="77"/>
  </si>
  <si>
    <t>(ﾊﾟｰｾﾝﾄ)</t>
    <phoneticPr fontId="77"/>
  </si>
  <si>
    <t>＝</t>
    <phoneticPr fontId="77"/>
  </si>
  <si>
    <t>×</t>
    <phoneticPr fontId="77"/>
  </si>
  <si>
    <t>＝</t>
    <phoneticPr fontId="77"/>
  </si>
  <si>
    <t>計</t>
    <phoneticPr fontId="77"/>
  </si>
  <si>
    <t>項目</t>
    <rPh sb="0" eb="2">
      <t>コウモク</t>
    </rPh>
    <phoneticPr fontId="77"/>
  </si>
  <si>
    <t>区分</t>
    <rPh sb="0" eb="2">
      <t>クブン</t>
    </rPh>
    <phoneticPr fontId="77"/>
  </si>
  <si>
    <r>
      <t xml:space="preserve">－     </t>
    </r>
    <r>
      <rPr>
        <sz val="12"/>
        <rFont val="ＭＳ 明朝"/>
        <family val="1"/>
        <charset val="128"/>
      </rPr>
      <t>100</t>
    </r>
    <phoneticPr fontId="22"/>
  </si>
  <si>
    <t>供給
約款
料金
の
平均
単価</t>
    <phoneticPr fontId="77"/>
  </si>
  <si>
    <r>
      <t xml:space="preserve">実 </t>
    </r>
    <r>
      <rPr>
        <sz val="12"/>
        <rFont val="ＭＳ 明朝"/>
        <family val="1"/>
        <charset val="128"/>
      </rPr>
      <t xml:space="preserve"> </t>
    </r>
    <r>
      <rPr>
        <sz val="12"/>
        <rFont val="ＭＳ 明朝"/>
        <family val="1"/>
        <charset val="128"/>
      </rPr>
      <t>施　の　内　容</t>
    </r>
    <rPh sb="0" eb="1">
      <t>ジツ</t>
    </rPh>
    <rPh sb="3" eb="4">
      <t>シ</t>
    </rPh>
    <rPh sb="7" eb="8">
      <t>ウチ</t>
    </rPh>
    <rPh sb="9" eb="10">
      <t>カタチ</t>
    </rPh>
    <phoneticPr fontId="77"/>
  </si>
  <si>
    <r>
      <t xml:space="preserve">× 100 － </t>
    </r>
    <r>
      <rPr>
        <sz val="12"/>
        <rFont val="ＭＳ 明朝"/>
        <family val="1"/>
        <charset val="128"/>
      </rPr>
      <t>100</t>
    </r>
    <phoneticPr fontId="22"/>
  </si>
  <si>
    <t>・供給約款</t>
    <rPh sb="1" eb="3">
      <t>キョウキュウ</t>
    </rPh>
    <rPh sb="3" eb="5">
      <t>ヤッカン</t>
    </rPh>
    <phoneticPr fontId="22"/>
  </si>
  <si>
    <r>
      <t xml:space="preserve">× </t>
    </r>
    <r>
      <rPr>
        <sz val="12"/>
        <rFont val="ＭＳ 明朝"/>
        <family val="1"/>
        <charset val="128"/>
      </rPr>
      <t xml:space="preserve">   </t>
    </r>
    <r>
      <rPr>
        <sz val="12"/>
        <rFont val="ＭＳ 明朝"/>
        <family val="1"/>
        <charset val="128"/>
      </rPr>
      <t xml:space="preserve"> 100</t>
    </r>
    <phoneticPr fontId="77"/>
  </si>
  <si>
    <t>調整単位料金</t>
    <rPh sb="0" eb="2">
      <t>チョウセイ</t>
    </rPh>
    <rPh sb="2" eb="4">
      <t>タンイ</t>
    </rPh>
    <rPh sb="4" eb="6">
      <t>リョウキン</t>
    </rPh>
    <phoneticPr fontId="77"/>
  </si>
  <si>
    <t>＝</t>
    <phoneticPr fontId="2"/>
  </si>
  <si>
    <t>（C)</t>
    <phoneticPr fontId="2"/>
  </si>
  <si>
    <t>会社所在地</t>
    <rPh sb="0" eb="2">
      <t>カイシャ</t>
    </rPh>
    <rPh sb="2" eb="5">
      <t>ショザイチ</t>
    </rPh>
    <phoneticPr fontId="2"/>
  </si>
  <si>
    <t>申請日</t>
    <rPh sb="0" eb="2">
      <t>シンセイ</t>
    </rPh>
    <rPh sb="2" eb="3">
      <t>ビ</t>
    </rPh>
    <phoneticPr fontId="2"/>
  </si>
  <si>
    <t>↑入力例：1973/7/1</t>
    <rPh sb="1" eb="3">
      <t>ニュウリョク</t>
    </rPh>
    <rPh sb="3" eb="4">
      <t>レイ</t>
    </rPh>
    <phoneticPr fontId="2"/>
  </si>
  <si>
    <r>
      <t xml:space="preserve"> </t>
    </r>
    <r>
      <rPr>
        <sz val="12"/>
        <rFont val="ＭＳ 明朝"/>
        <family val="1"/>
        <charset val="128"/>
      </rPr>
      <t xml:space="preserve">   </t>
    </r>
    <r>
      <rPr>
        <sz val="12"/>
        <rFont val="ＭＳ 明朝"/>
        <family val="1"/>
        <charset val="128"/>
      </rPr>
      <t>別紙のとおり</t>
    </r>
    <rPh sb="4" eb="6">
      <t>ベッシ</t>
    </rPh>
    <phoneticPr fontId="22"/>
  </si>
  <si>
    <t>導管</t>
    <rPh sb="0" eb="2">
      <t>ドウカン</t>
    </rPh>
    <phoneticPr fontId="22"/>
  </si>
  <si>
    <t>建物及び償却資産に係る課税標準額内訳</t>
    <rPh sb="16" eb="18">
      <t>ウチワケ</t>
    </rPh>
    <phoneticPr fontId="22"/>
  </si>
  <si>
    <t>計</t>
    <rPh sb="0" eb="1">
      <t>ケイ</t>
    </rPh>
    <phoneticPr fontId="22"/>
  </si>
  <si>
    <t>課税標準額</t>
    <rPh sb="0" eb="2">
      <t>カゼイ</t>
    </rPh>
    <rPh sb="2" eb="4">
      <t>ヒョウジュン</t>
    </rPh>
    <rPh sb="4" eb="5">
      <t>ガク</t>
    </rPh>
    <phoneticPr fontId="2"/>
  </si>
  <si>
    <t>合計</t>
    <rPh sb="0" eb="2">
      <t>ゴウケイ</t>
    </rPh>
    <phoneticPr fontId="22"/>
  </si>
  <si>
    <t>算定式</t>
    <rPh sb="0" eb="1">
      <t>ザン</t>
    </rPh>
    <rPh sb="1" eb="2">
      <t>サダム</t>
    </rPh>
    <rPh sb="2" eb="3">
      <t>シキ</t>
    </rPh>
    <phoneticPr fontId="2"/>
  </si>
  <si>
    <t>メーター</t>
    <phoneticPr fontId="22"/>
  </si>
  <si>
    <t>区分</t>
    <rPh sb="0" eb="2">
      <t>クブン</t>
    </rPh>
    <phoneticPr fontId="2"/>
  </si>
  <si>
    <t>収入の過不足がﾏｲﾅｽの範囲内で調整可能</t>
    <rPh sb="0" eb="2">
      <t>シュウニュウ</t>
    </rPh>
    <rPh sb="3" eb="6">
      <t>カフソク</t>
    </rPh>
    <rPh sb="12" eb="15">
      <t>ハンイナイ</t>
    </rPh>
    <rPh sb="16" eb="18">
      <t>チョウセイ</t>
    </rPh>
    <rPh sb="18" eb="20">
      <t>カノウ</t>
    </rPh>
    <phoneticPr fontId="2"/>
  </si>
  <si>
    <t>軽減係数適用有</t>
    <rPh sb="0" eb="2">
      <t>ケイゲン</t>
    </rPh>
    <rPh sb="2" eb="4">
      <t>ケイスウ</t>
    </rPh>
    <rPh sb="4" eb="6">
      <t>テキヨウ</t>
    </rPh>
    <rPh sb="6" eb="7">
      <t>ユウ</t>
    </rPh>
    <phoneticPr fontId="22"/>
  </si>
  <si>
    <t>軽減係数適用無</t>
    <rPh sb="6" eb="7">
      <t>ナ</t>
    </rPh>
    <phoneticPr fontId="22"/>
  </si>
  <si>
    <t>計</t>
    <phoneticPr fontId="2"/>
  </si>
  <si>
    <t>基本料金収入額</t>
    <rPh sb="0" eb="2">
      <t>キホン</t>
    </rPh>
    <rPh sb="2" eb="4">
      <t>リョウキン</t>
    </rPh>
    <rPh sb="4" eb="6">
      <t>シュウニュウ</t>
    </rPh>
    <rPh sb="6" eb="7">
      <t>ガク</t>
    </rPh>
    <phoneticPr fontId="22"/>
  </si>
  <si>
    <t>単位料金収入額</t>
    <rPh sb="0" eb="2">
      <t>タンイ</t>
    </rPh>
    <rPh sb="2" eb="4">
      <t>リョウキン</t>
    </rPh>
    <rPh sb="4" eb="6">
      <t>シュウニュウ</t>
    </rPh>
    <rPh sb="6" eb="7">
      <t>ガク</t>
    </rPh>
    <phoneticPr fontId="22"/>
  </si>
  <si>
    <t>基本料金</t>
    <phoneticPr fontId="77"/>
  </si>
  <si>
    <t>基準単位料金</t>
    <rPh sb="0" eb="2">
      <t>キジュン</t>
    </rPh>
    <rPh sb="2" eb="4">
      <t>タンイ</t>
    </rPh>
    <phoneticPr fontId="77"/>
  </si>
  <si>
    <t>（単位：円）</t>
    <rPh sb="1" eb="3">
      <t>タンイ</t>
    </rPh>
    <rPh sb="4" eb="5">
      <t>エン</t>
    </rPh>
    <phoneticPr fontId="22"/>
  </si>
  <si>
    <t>用途</t>
    <rPh sb="0" eb="2">
      <t>ヨウト</t>
    </rPh>
    <phoneticPr fontId="2"/>
  </si>
  <si>
    <t>殿</t>
    <rPh sb="0" eb="1">
      <t>トノ</t>
    </rPh>
    <phoneticPr fontId="22"/>
  </si>
  <si>
    <t>申請先</t>
    <rPh sb="0" eb="2">
      <t>シンセイ</t>
    </rPh>
    <rPh sb="2" eb="3">
      <t>サキ</t>
    </rPh>
    <phoneticPr fontId="2"/>
  </si>
  <si>
    <t>取得日</t>
    <rPh sb="0" eb="3">
      <t>シュトクビ</t>
    </rPh>
    <phoneticPr fontId="2"/>
  </si>
  <si>
    <t>土地の評価額   ㎡当たり</t>
    <phoneticPr fontId="2"/>
  </si>
  <si>
    <t>　　　調整単位料金※</t>
    <rPh sb="3" eb="5">
      <t>チョウセイ</t>
    </rPh>
    <phoneticPr fontId="2"/>
  </si>
  <si>
    <t>（参考）ブロック料金からの展開値※</t>
    <rPh sb="1" eb="3">
      <t>サンコウ</t>
    </rPh>
    <rPh sb="8" eb="10">
      <t>リョウキン</t>
    </rPh>
    <rPh sb="13" eb="15">
      <t>テンカイ</t>
    </rPh>
    <rPh sb="15" eb="16">
      <t>アタイ</t>
    </rPh>
    <phoneticPr fontId="2"/>
  </si>
  <si>
    <r>
      <t>■軽減係数</t>
    </r>
    <r>
      <rPr>
        <sz val="12"/>
        <rFont val="ＭＳ 明朝"/>
        <family val="1"/>
        <charset val="128"/>
      </rPr>
      <t>使用（H 1.4 以降）</t>
    </r>
    <rPh sb="1" eb="3">
      <t>ケイゲン</t>
    </rPh>
    <rPh sb="3" eb="5">
      <t>ケイスウ</t>
    </rPh>
    <rPh sb="5" eb="7">
      <t>シヨウ</t>
    </rPh>
    <rPh sb="14" eb="16">
      <t>イコウ</t>
    </rPh>
    <phoneticPr fontId="2"/>
  </si>
  <si>
    <t>通知１２他　　事業報酬率</t>
    <rPh sb="0" eb="2">
      <t>ツウチ</t>
    </rPh>
    <rPh sb="4" eb="5">
      <t>ホカ</t>
    </rPh>
    <phoneticPr fontId="2"/>
  </si>
  <si>
    <r>
      <t xml:space="preserve"> </t>
    </r>
    <r>
      <rPr>
        <sz val="12"/>
        <rFont val="ＭＳ 明朝"/>
        <family val="1"/>
        <charset val="128"/>
      </rPr>
      <t xml:space="preserve"> </t>
    </r>
    <phoneticPr fontId="2"/>
  </si>
  <si>
    <t>有形固定資産投資年表（Ｈ18年1月現在）</t>
    <rPh sb="0" eb="2">
      <t>ユウケイ</t>
    </rPh>
    <rPh sb="2" eb="4">
      <t>コテイ</t>
    </rPh>
    <rPh sb="4" eb="6">
      <t>シサン</t>
    </rPh>
    <rPh sb="6" eb="8">
      <t>トウシ</t>
    </rPh>
    <rPh sb="8" eb="10">
      <t>ネンピョウ</t>
    </rPh>
    <rPh sb="14" eb="15">
      <t>ネン</t>
    </rPh>
    <rPh sb="16" eb="17">
      <t>ツキ</t>
    </rPh>
    <rPh sb="17" eb="19">
      <t>ゲンザイ</t>
    </rPh>
    <phoneticPr fontId="22"/>
  </si>
  <si>
    <t>端数処理</t>
    <rPh sb="0" eb="2">
      <t>ハスウ</t>
    </rPh>
    <rPh sb="2" eb="4">
      <t>ショリ</t>
    </rPh>
    <phoneticPr fontId="2"/>
  </si>
  <si>
    <t>切捨：0/四捨五入：1/切上：2</t>
    <rPh sb="0" eb="2">
      <t>キリス</t>
    </rPh>
    <rPh sb="5" eb="9">
      <t>シシャゴニュウ</t>
    </rPh>
    <rPh sb="12" eb="14">
      <t>キリアゲ</t>
    </rPh>
    <phoneticPr fontId="2"/>
  </si>
  <si>
    <t>地方法人税率</t>
    <rPh sb="0" eb="2">
      <t>チホウ</t>
    </rPh>
    <rPh sb="2" eb="4">
      <t>ホウジン</t>
    </rPh>
    <rPh sb="4" eb="6">
      <t>ゼイリツ</t>
    </rPh>
    <phoneticPr fontId="2"/>
  </si>
  <si>
    <t>地方法人税</t>
    <rPh sb="0" eb="2">
      <t>チホウ</t>
    </rPh>
    <rPh sb="2" eb="5">
      <t>ホウジンゼイ</t>
    </rPh>
    <phoneticPr fontId="2"/>
  </si>
  <si>
    <t>（地方法人税）</t>
    <rPh sb="1" eb="3">
      <t>チホウ</t>
    </rPh>
    <phoneticPr fontId="2"/>
  </si>
  <si>
    <t>地方法人税法に定める税率(k3)</t>
    <rPh sb="0" eb="2">
      <t>チホウ</t>
    </rPh>
    <rPh sb="2" eb="5">
      <t>ホウジンゼイ</t>
    </rPh>
    <rPh sb="5" eb="6">
      <t>ホウ</t>
    </rPh>
    <rPh sb="7" eb="8">
      <t>サダ</t>
    </rPh>
    <rPh sb="10" eb="12">
      <t>ゼイリツ</t>
    </rPh>
    <phoneticPr fontId="2"/>
  </si>
  <si>
    <t>　法人税及び地方法人税並びに住民税(K)　　　　　(K①+K②+K③)</t>
    <rPh sb="6" eb="8">
      <t>チホウ</t>
    </rPh>
    <rPh sb="8" eb="11">
      <t>ホウジンゼイ</t>
    </rPh>
    <rPh sb="11" eb="12">
      <t>ナラ</t>
    </rPh>
    <phoneticPr fontId="2"/>
  </si>
  <si>
    <t>＝　　住民税(K③)</t>
    <phoneticPr fontId="2"/>
  </si>
  <si>
    <t>地方税法に定める標準税率(k4)</t>
    <phoneticPr fontId="2"/>
  </si>
  <si>
    <t xml:space="preserve">事業報酬額(L)　× </t>
    <phoneticPr fontId="2"/>
  </si>
  <si>
    <t xml:space="preserve">　法人税(K①)　× </t>
    <phoneticPr fontId="2"/>
  </si>
  <si>
    <r>
      <t xml:space="preserve">法人税・地方法人税・住民税
</t>
    </r>
    <r>
      <rPr>
        <sz val="10"/>
        <rFont val="ＭＳ 明朝"/>
        <family val="1"/>
        <charset val="128"/>
      </rPr>
      <t>（法人税割に限る。）</t>
    </r>
    <rPh sb="4" eb="6">
      <t>チホウ</t>
    </rPh>
    <rPh sb="6" eb="9">
      <t>ホウジンゼイ</t>
    </rPh>
    <rPh sb="15" eb="17">
      <t>ホウジン</t>
    </rPh>
    <rPh sb="17" eb="18">
      <t>ゼイ</t>
    </rPh>
    <rPh sb="18" eb="19">
      <t>ワ</t>
    </rPh>
    <rPh sb="20" eb="21">
      <t>カギ</t>
    </rPh>
    <phoneticPr fontId="2"/>
  </si>
  <si>
    <t>【廃止】復興特別法人税の有無</t>
    <rPh sb="1" eb="3">
      <t>ハイシ</t>
    </rPh>
    <rPh sb="4" eb="6">
      <t>フッコウ</t>
    </rPh>
    <rPh sb="6" eb="8">
      <t>トクベツ</t>
    </rPh>
    <rPh sb="8" eb="11">
      <t>ホウジンゼイ</t>
    </rPh>
    <rPh sb="12" eb="14">
      <t>ウム</t>
    </rPh>
    <phoneticPr fontId="2"/>
  </si>
  <si>
    <t>＝　　 地方法人税(K②)</t>
    <phoneticPr fontId="2"/>
  </si>
  <si>
    <t>法人税及
び地方法人税並びに
住民税</t>
    <rPh sb="0" eb="3">
      <t>ホウジンゼイ</t>
    </rPh>
    <rPh sb="3" eb="4">
      <t>オヨ</t>
    </rPh>
    <rPh sb="6" eb="8">
      <t>チホウ</t>
    </rPh>
    <rPh sb="8" eb="11">
      <t>ホウジンゼイ</t>
    </rPh>
    <rPh sb="11" eb="12">
      <t>ナラ</t>
    </rPh>
    <phoneticPr fontId="2"/>
  </si>
  <si>
    <t>法人税</t>
    <phoneticPr fontId="2"/>
  </si>
  <si>
    <t>地方法人税</t>
    <rPh sb="0" eb="5">
      <t>チホウホウジンゼイ</t>
    </rPh>
    <phoneticPr fontId="2"/>
  </si>
  <si>
    <t>平成25年　　　4月1日～　　平成29年　　　3月31日</t>
    <rPh sb="0" eb="2">
      <t>ヘイセイ</t>
    </rPh>
    <rPh sb="4" eb="5">
      <t>ネン</t>
    </rPh>
    <rPh sb="9" eb="10">
      <t>ツキ</t>
    </rPh>
    <rPh sb="11" eb="12">
      <t>ヒ</t>
    </rPh>
    <rPh sb="15" eb="17">
      <t>ヘイセイ</t>
    </rPh>
    <rPh sb="19" eb="20">
      <t>ネン</t>
    </rPh>
    <rPh sb="24" eb="25">
      <t>ガツ</t>
    </rPh>
    <rPh sb="27" eb="28">
      <t>ニチ</t>
    </rPh>
    <phoneticPr fontId="2"/>
  </si>
  <si>
    <t xml:space="preserve">  H25.4.1～H29.3.31    =16</t>
    <phoneticPr fontId="2"/>
  </si>
  <si>
    <t>大阪</t>
    <phoneticPr fontId="2"/>
  </si>
  <si>
    <t>愛知</t>
    <phoneticPr fontId="2"/>
  </si>
  <si>
    <t>兵庫</t>
    <phoneticPr fontId="2"/>
  </si>
  <si>
    <t>非規制需要</t>
    <rPh sb="0" eb="1">
      <t>ヒ</t>
    </rPh>
    <rPh sb="1" eb="3">
      <t>キセイ</t>
    </rPh>
    <rPh sb="3" eb="5">
      <t>ジュヨウ</t>
    </rPh>
    <phoneticPr fontId="2"/>
  </si>
  <si>
    <t>旧特定大口</t>
    <phoneticPr fontId="2"/>
  </si>
  <si>
    <r>
      <t>(２)旧特定ガス大口契約分（需要家別）</t>
    </r>
    <r>
      <rPr>
        <sz val="14"/>
        <color indexed="10"/>
        <rFont val="ＭＳ ゴシック"/>
        <family val="3"/>
        <charset val="128"/>
      </rPr>
      <t>※12ヶ月分（データがない月は推定値）</t>
    </r>
    <rPh sb="14" eb="17">
      <t>ジュヨウカ</t>
    </rPh>
    <rPh sb="17" eb="18">
      <t>ベツ</t>
    </rPh>
    <rPh sb="23" eb="24">
      <t>ゲツ</t>
    </rPh>
    <rPh sb="24" eb="25">
      <t>ブン</t>
    </rPh>
    <rPh sb="32" eb="33">
      <t>ツキ</t>
    </rPh>
    <rPh sb="34" eb="37">
      <t>スイテイチ</t>
    </rPh>
    <phoneticPr fontId="2"/>
  </si>
  <si>
    <t>一般供給約款、非規制需要及び旧特定ガス大口契約需要家一覧表（実績からの需要想定）</t>
    <rPh sb="30" eb="32">
      <t>ジッセキ</t>
    </rPh>
    <rPh sb="35" eb="37">
      <t>ジュヨウ</t>
    </rPh>
    <rPh sb="37" eb="39">
      <t>ソウテイ</t>
    </rPh>
    <phoneticPr fontId="2"/>
  </si>
  <si>
    <r>
      <t>(１)非規制需要契約分（契約種類別）</t>
    </r>
    <r>
      <rPr>
        <sz val="14"/>
        <color indexed="10"/>
        <rFont val="ＭＳ ゴシック"/>
        <family val="3"/>
        <charset val="128"/>
      </rPr>
      <t>※割引料金適用月のみ</t>
    </r>
    <rPh sb="12" eb="14">
      <t>ケイヤク</t>
    </rPh>
    <rPh sb="14" eb="16">
      <t>シュルイ</t>
    </rPh>
    <rPh sb="16" eb="17">
      <t>ベツ</t>
    </rPh>
    <rPh sb="19" eb="21">
      <t>ワリビキ</t>
    </rPh>
    <rPh sb="21" eb="23">
      <t>リョウキン</t>
    </rPh>
    <rPh sb="23" eb="25">
      <t>テキヨウ</t>
    </rPh>
    <rPh sb="25" eb="26">
      <t>ツキ</t>
    </rPh>
    <phoneticPr fontId="2"/>
  </si>
  <si>
    <r>
      <t>(３)一般供給約款分（用途別）</t>
    </r>
    <r>
      <rPr>
        <sz val="14"/>
        <color indexed="10"/>
        <rFont val="ＭＳ ゴシック"/>
        <family val="3"/>
        <charset val="128"/>
      </rPr>
      <t>※非規制需要・旧特定ガス大口契約を除く</t>
    </r>
    <rPh sb="11" eb="13">
      <t>ヨウト</t>
    </rPh>
    <rPh sb="13" eb="14">
      <t>ベツ</t>
    </rPh>
    <rPh sb="16" eb="17">
      <t>ヒ</t>
    </rPh>
    <rPh sb="17" eb="19">
      <t>キセイ</t>
    </rPh>
    <rPh sb="19" eb="21">
      <t>ジュヨウ</t>
    </rPh>
    <rPh sb="22" eb="23">
      <t>キュウ</t>
    </rPh>
    <rPh sb="23" eb="25">
      <t>トクテイ</t>
    </rPh>
    <rPh sb="27" eb="29">
      <t>オオグチ</t>
    </rPh>
    <rPh sb="29" eb="31">
      <t>ケイヤク</t>
    </rPh>
    <rPh sb="32" eb="33">
      <t>ノゾ</t>
    </rPh>
    <phoneticPr fontId="2"/>
  </si>
  <si>
    <t>部分は非規制需要を設定している地点群のみ入力</t>
    <rPh sb="0" eb="2">
      <t>ブブン</t>
    </rPh>
    <rPh sb="3" eb="4">
      <t>ヒ</t>
    </rPh>
    <rPh sb="4" eb="6">
      <t>キセイ</t>
    </rPh>
    <rPh sb="6" eb="8">
      <t>ジュヨウ</t>
    </rPh>
    <rPh sb="9" eb="11">
      <t>セッテイ</t>
    </rPh>
    <rPh sb="15" eb="17">
      <t>チテン</t>
    </rPh>
    <rPh sb="17" eb="18">
      <t>グン</t>
    </rPh>
    <rPh sb="20" eb="22">
      <t>ニュウリョク</t>
    </rPh>
    <phoneticPr fontId="22"/>
  </si>
  <si>
    <t>旧特定ガス大口供給料金原価（円）</t>
    <rPh sb="0" eb="1">
      <t>キュウ</t>
    </rPh>
    <rPh sb="7" eb="9">
      <t>キョウキュウ</t>
    </rPh>
    <rPh sb="9" eb="11">
      <t>リョウキン</t>
    </rPh>
    <rPh sb="11" eb="13">
      <t>ゲンカ</t>
    </rPh>
    <rPh sb="14" eb="15">
      <t>エン</t>
    </rPh>
    <phoneticPr fontId="2"/>
  </si>
  <si>
    <t>非規制需要料金原価（円）</t>
    <rPh sb="5" eb="6">
      <t>リョウ</t>
    </rPh>
    <rPh sb="6" eb="7">
      <t>カネ</t>
    </rPh>
    <rPh sb="7" eb="8">
      <t>ハラ</t>
    </rPh>
    <rPh sb="8" eb="9">
      <t>アタイ</t>
    </rPh>
    <rPh sb="10" eb="11">
      <t>エン</t>
    </rPh>
    <phoneticPr fontId="2"/>
  </si>
  <si>
    <t>非規制需要変更前料金収入</t>
    <rPh sb="5" eb="7">
      <t>ヘンコウ</t>
    </rPh>
    <rPh sb="7" eb="8">
      <t>マエ</t>
    </rPh>
    <rPh sb="8" eb="10">
      <t>リョウキン</t>
    </rPh>
    <rPh sb="10" eb="12">
      <t>シュウニュウ</t>
    </rPh>
    <phoneticPr fontId="22"/>
  </si>
  <si>
    <t xml:space="preserve">   非規制需要料金</t>
    <phoneticPr fontId="2"/>
  </si>
  <si>
    <t xml:space="preserve">  旧特定ガス大口契約</t>
    <rPh sb="2" eb="3">
      <t>キュウ</t>
    </rPh>
    <phoneticPr fontId="2"/>
  </si>
  <si>
    <t>　供給約款の変更前料金収入</t>
    <rPh sb="1" eb="3">
      <t>キョウキュウ</t>
    </rPh>
    <rPh sb="3" eb="5">
      <t>ヤッカン</t>
    </rPh>
    <rPh sb="6" eb="8">
      <t>ヘンコウ</t>
    </rPh>
    <rPh sb="8" eb="9">
      <t>マエ</t>
    </rPh>
    <rPh sb="9" eb="11">
      <t>リョウキン</t>
    </rPh>
    <rPh sb="11" eb="13">
      <t>シュウニュウ</t>
    </rPh>
    <phoneticPr fontId="20"/>
  </si>
  <si>
    <t>指定旧供給地点小売供給約款変更認可申請書</t>
    <rPh sb="0" eb="2">
      <t>シテイ</t>
    </rPh>
    <rPh sb="2" eb="3">
      <t>キュウ</t>
    </rPh>
    <rPh sb="3" eb="5">
      <t>キョウキュウ</t>
    </rPh>
    <rPh sb="5" eb="7">
      <t>チテン</t>
    </rPh>
    <rPh sb="7" eb="9">
      <t>コウリ</t>
    </rPh>
    <rPh sb="9" eb="11">
      <t>キョウキュウ</t>
    </rPh>
    <rPh sb="11" eb="13">
      <t>ヤッカン</t>
    </rPh>
    <rPh sb="13" eb="15">
      <t>ヘンコウ</t>
    </rPh>
    <rPh sb="15" eb="17">
      <t>ニンカ</t>
    </rPh>
    <rPh sb="17" eb="20">
      <t>シンセイショ</t>
    </rPh>
    <phoneticPr fontId="2"/>
  </si>
  <si>
    <t>（供給地点及びその数）</t>
    <rPh sb="1" eb="3">
      <t>キョウキュウ</t>
    </rPh>
    <rPh sb="3" eb="5">
      <t>チテン</t>
    </rPh>
    <rPh sb="5" eb="6">
      <t>オヨ</t>
    </rPh>
    <rPh sb="9" eb="10">
      <t>カズ</t>
    </rPh>
    <phoneticPr fontId="2"/>
  </si>
  <si>
    <t xml:space="preserve">指定旧供給地点小売供給約款設定認可申請書 </t>
    <phoneticPr fontId="2"/>
  </si>
  <si>
    <t>様式第９（第１３条関係）</t>
    <rPh sb="0" eb="2">
      <t>ヨウシキ</t>
    </rPh>
    <rPh sb="2" eb="3">
      <t>ダイ</t>
    </rPh>
    <rPh sb="5" eb="6">
      <t>ダイ</t>
    </rPh>
    <rPh sb="8" eb="9">
      <t>ジョウ</t>
    </rPh>
    <rPh sb="9" eb="11">
      <t>カンケイ</t>
    </rPh>
    <phoneticPr fontId="2"/>
  </si>
  <si>
    <t>供給地点及びその数</t>
    <rPh sb="4" eb="5">
      <t>オヨ</t>
    </rPh>
    <phoneticPr fontId="2"/>
  </si>
  <si>
    <t>供給
約款
の
平均
単価</t>
    <rPh sb="0" eb="2">
      <t>キョウキュウ</t>
    </rPh>
    <rPh sb="3" eb="5">
      <t>ヤッカン</t>
    </rPh>
    <phoneticPr fontId="77"/>
  </si>
  <si>
    <t>供給約款の料金原価</t>
    <rPh sb="0" eb="2">
      <t>キョウキュウ</t>
    </rPh>
    <rPh sb="2" eb="4">
      <t>ヤッカン</t>
    </rPh>
    <rPh sb="5" eb="7">
      <t>リョウキン</t>
    </rPh>
    <rPh sb="7" eb="9">
      <t>ゲンカ</t>
    </rPh>
    <phoneticPr fontId="77"/>
  </si>
  <si>
    <t>供給約款の変更前料金収入（※）</t>
    <rPh sb="0" eb="2">
      <t>キョウキュウ</t>
    </rPh>
    <rPh sb="2" eb="4">
      <t>ヤッカン</t>
    </rPh>
    <phoneticPr fontId="77"/>
  </si>
  <si>
    <t>原価（原資）算定期間中の供給約款ガス販売量</t>
    <rPh sb="0" eb="2">
      <t>ゲンカ</t>
    </rPh>
    <rPh sb="3" eb="5">
      <t>ゲンシ</t>
    </rPh>
    <rPh sb="6" eb="8">
      <t>サンテイ</t>
    </rPh>
    <rPh sb="8" eb="10">
      <t>キカン</t>
    </rPh>
    <rPh sb="10" eb="11">
      <t>チュウ</t>
    </rPh>
    <rPh sb="18" eb="20">
      <t>ハンバイ</t>
    </rPh>
    <rPh sb="20" eb="21">
      <t>リョウ</t>
    </rPh>
    <phoneticPr fontId="77"/>
  </si>
  <si>
    <t>　改正法附則第３０条第１項の規定により、別紙指定旧供給地点小売供給約款の案のとおり指定旧供給地点小売供給約款の設定の認可を受けたいので申請します。</t>
    <rPh sb="1" eb="3">
      <t>カイセイ</t>
    </rPh>
    <rPh sb="3" eb="4">
      <t>ホウ</t>
    </rPh>
    <rPh sb="4" eb="6">
      <t>フソク</t>
    </rPh>
    <rPh sb="6" eb="7">
      <t>ダイ</t>
    </rPh>
    <rPh sb="9" eb="10">
      <t>ジョウ</t>
    </rPh>
    <rPh sb="10" eb="11">
      <t>ダイ</t>
    </rPh>
    <rPh sb="12" eb="13">
      <t>コウ</t>
    </rPh>
    <rPh sb="14" eb="16">
      <t>キテイ</t>
    </rPh>
    <rPh sb="20" eb="22">
      <t>ベッシ</t>
    </rPh>
    <rPh sb="22" eb="24">
      <t>シテイ</t>
    </rPh>
    <rPh sb="24" eb="25">
      <t>キュウ</t>
    </rPh>
    <rPh sb="25" eb="27">
      <t>キョウキュウ</t>
    </rPh>
    <rPh sb="27" eb="29">
      <t>チテン</t>
    </rPh>
    <rPh sb="29" eb="31">
      <t>コウリ</t>
    </rPh>
    <rPh sb="31" eb="33">
      <t>キョウキュウ</t>
    </rPh>
    <rPh sb="33" eb="35">
      <t>ヤッカン</t>
    </rPh>
    <rPh sb="36" eb="37">
      <t>アン</t>
    </rPh>
    <rPh sb="41" eb="43">
      <t>シテイ</t>
    </rPh>
    <rPh sb="43" eb="44">
      <t>キュウ</t>
    </rPh>
    <rPh sb="44" eb="46">
      <t>キョウキュウ</t>
    </rPh>
    <rPh sb="46" eb="48">
      <t>チテン</t>
    </rPh>
    <rPh sb="48" eb="50">
      <t>コウリ</t>
    </rPh>
    <rPh sb="50" eb="52">
      <t>キョウキュウ</t>
    </rPh>
    <rPh sb="52" eb="54">
      <t>ヤッカン</t>
    </rPh>
    <rPh sb="55" eb="57">
      <t>セッテイ</t>
    </rPh>
    <rPh sb="58" eb="60">
      <t>ニンカ</t>
    </rPh>
    <rPh sb="61" eb="62">
      <t>ウ</t>
    </rPh>
    <rPh sb="67" eb="69">
      <t>シンセイ</t>
    </rPh>
    <phoneticPr fontId="22"/>
  </si>
  <si>
    <t>　改正法附則第３０条第１項の規定により次のとおり指定旧供給地点小売供給約款の変更の認可を受けたいので申請します。</t>
    <rPh sb="1" eb="3">
      <t>カイセイ</t>
    </rPh>
    <rPh sb="3" eb="4">
      <t>ホウ</t>
    </rPh>
    <rPh sb="4" eb="6">
      <t>フソク</t>
    </rPh>
    <rPh sb="6" eb="7">
      <t>ダイ</t>
    </rPh>
    <rPh sb="9" eb="10">
      <t>ジョウ</t>
    </rPh>
    <rPh sb="10" eb="11">
      <t>ダイ</t>
    </rPh>
    <rPh sb="12" eb="13">
      <t>コウ</t>
    </rPh>
    <rPh sb="14" eb="16">
      <t>キテイ</t>
    </rPh>
    <rPh sb="19" eb="20">
      <t>ツギ</t>
    </rPh>
    <rPh sb="24" eb="26">
      <t>シテイ</t>
    </rPh>
    <rPh sb="26" eb="27">
      <t>キュウ</t>
    </rPh>
    <rPh sb="27" eb="29">
      <t>キョウキュウ</t>
    </rPh>
    <rPh sb="29" eb="31">
      <t>チテン</t>
    </rPh>
    <rPh sb="31" eb="33">
      <t>コウリ</t>
    </rPh>
    <rPh sb="33" eb="35">
      <t>キョウキュウ</t>
    </rPh>
    <rPh sb="35" eb="37">
      <t>ヤッカン</t>
    </rPh>
    <rPh sb="38" eb="40">
      <t>ヘンコウ</t>
    </rPh>
    <rPh sb="41" eb="43">
      <t>ニンカ</t>
    </rPh>
    <rPh sb="44" eb="45">
      <t>ウ</t>
    </rPh>
    <rPh sb="50" eb="52">
      <t>シンセイ</t>
    </rPh>
    <phoneticPr fontId="22"/>
  </si>
  <si>
    <t>変更理由書</t>
    <phoneticPr fontId="22"/>
  </si>
  <si>
    <t>　供給約款料金引下げ</t>
    <rPh sb="1" eb="3">
      <t>キョウキュウ</t>
    </rPh>
    <rPh sb="3" eb="5">
      <t>ヤッカン</t>
    </rPh>
    <rPh sb="5" eb="7">
      <t>リョウキン</t>
    </rPh>
    <rPh sb="7" eb="9">
      <t>ヒキサ</t>
    </rPh>
    <phoneticPr fontId="20"/>
  </si>
  <si>
    <t>　供給約款の変更前料金収入　（Ｂ）</t>
    <rPh sb="1" eb="3">
      <t>キョウキュウ</t>
    </rPh>
    <rPh sb="3" eb="5">
      <t>ヤッカン</t>
    </rPh>
    <rPh sb="6" eb="8">
      <t>ヘンコウ</t>
    </rPh>
    <rPh sb="8" eb="9">
      <t>マエ</t>
    </rPh>
    <rPh sb="9" eb="11">
      <t>リョウキン</t>
    </rPh>
    <rPh sb="11" eb="13">
      <t>シュウニュウ</t>
    </rPh>
    <phoneticPr fontId="20"/>
  </si>
  <si>
    <r>
      <t>　供給約款分のガス販売量　（ ㎥</t>
    </r>
    <r>
      <rPr>
        <vertAlign val="superscript"/>
        <sz val="12"/>
        <rFont val="ＭＳ 明朝"/>
        <family val="1"/>
        <charset val="128"/>
      </rPr>
      <t>　</t>
    </r>
    <r>
      <rPr>
        <sz val="12"/>
        <rFont val="ＭＳ 明朝"/>
        <family val="1"/>
        <charset val="128"/>
      </rPr>
      <t>）</t>
    </r>
    <rPh sb="1" eb="3">
      <t>キョウキュウ</t>
    </rPh>
    <rPh sb="3" eb="5">
      <t>ヤッカン</t>
    </rPh>
    <rPh sb="5" eb="6">
      <t>ブン</t>
    </rPh>
    <rPh sb="9" eb="11">
      <t>ハンバイ</t>
    </rPh>
    <rPh sb="11" eb="12">
      <t>リョウ</t>
    </rPh>
    <phoneticPr fontId="20"/>
  </si>
  <si>
    <t>（注)　供給約款分のガス販売量とは、供給約款によるガスの販売量の需要想定をいう。</t>
    <rPh sb="1" eb="2">
      <t>チュウ</t>
    </rPh>
    <rPh sb="4" eb="6">
      <t>キョウキュウ</t>
    </rPh>
    <rPh sb="6" eb="8">
      <t>ヤッカン</t>
    </rPh>
    <rPh sb="8" eb="9">
      <t>ブン</t>
    </rPh>
    <rPh sb="12" eb="14">
      <t>ハンバイ</t>
    </rPh>
    <rPh sb="14" eb="15">
      <t>リョウ</t>
    </rPh>
    <rPh sb="18" eb="20">
      <t>キョウキュウ</t>
    </rPh>
    <rPh sb="20" eb="22">
      <t>ヤッカン</t>
    </rPh>
    <rPh sb="28" eb="30">
      <t>ハンバイ</t>
    </rPh>
    <rPh sb="30" eb="31">
      <t>リョウ</t>
    </rPh>
    <rPh sb="32" eb="34">
      <t>ジュヨウ</t>
    </rPh>
    <rPh sb="34" eb="36">
      <t>ソウテイ</t>
    </rPh>
    <phoneticPr fontId="20"/>
  </si>
  <si>
    <t>届出供給約款料金原価</t>
    <rPh sb="0" eb="2">
      <t>トドケデ</t>
    </rPh>
    <rPh sb="2" eb="4">
      <t>キョウキュウ</t>
    </rPh>
    <rPh sb="4" eb="6">
      <t>ヤッカン</t>
    </rPh>
    <rPh sb="6" eb="8">
      <t>リョウキン</t>
    </rPh>
    <rPh sb="8" eb="10">
      <t>ゲンカ</t>
    </rPh>
    <phoneticPr fontId="20"/>
  </si>
  <si>
    <t>　供給約款料金引下げ原資</t>
    <rPh sb="1" eb="3">
      <t>キョウキュウ</t>
    </rPh>
    <rPh sb="3" eb="5">
      <t>ヤッカン</t>
    </rPh>
    <rPh sb="5" eb="7">
      <t>リョウキン</t>
    </rPh>
    <rPh sb="7" eb="9">
      <t>ヒキサ</t>
    </rPh>
    <rPh sb="10" eb="12">
      <t>ゲンシ</t>
    </rPh>
    <phoneticPr fontId="22"/>
  </si>
  <si>
    <t>延供給地点数比</t>
    <rPh sb="1" eb="3">
      <t>キョウキュウ</t>
    </rPh>
    <phoneticPr fontId="2"/>
  </si>
  <si>
    <t>年間ガス販売量(㎥)</t>
    <phoneticPr fontId="2"/>
  </si>
  <si>
    <t xml:space="preserve">供  給  地  点  数 </t>
    <rPh sb="0" eb="1">
      <t>キョウ</t>
    </rPh>
    <phoneticPr fontId="2"/>
  </si>
  <si>
    <t>延供給地点数比率(%)</t>
    <rPh sb="1" eb="3">
      <t>キョウキュウ</t>
    </rPh>
    <phoneticPr fontId="2"/>
  </si>
  <si>
    <r>
      <t>変 更</t>
    </r>
    <r>
      <rPr>
        <sz val="12"/>
        <rFont val="ＭＳ 明朝"/>
        <family val="1"/>
        <charset val="128"/>
      </rPr>
      <t xml:space="preserve"> </t>
    </r>
    <r>
      <rPr>
        <sz val="12"/>
        <rFont val="ＭＳ 明朝"/>
        <family val="1"/>
        <charset val="128"/>
      </rPr>
      <t>の</t>
    </r>
    <r>
      <rPr>
        <sz val="12"/>
        <rFont val="ＭＳ 明朝"/>
        <family val="1"/>
        <charset val="128"/>
      </rPr>
      <t xml:space="preserve"> </t>
    </r>
    <r>
      <rPr>
        <sz val="12"/>
        <rFont val="ＭＳ 明朝"/>
        <family val="1"/>
        <charset val="128"/>
      </rPr>
      <t>内</t>
    </r>
    <r>
      <rPr>
        <sz val="12"/>
        <rFont val="ＭＳ 明朝"/>
        <family val="1"/>
        <charset val="128"/>
      </rPr>
      <t xml:space="preserve"> </t>
    </r>
    <r>
      <rPr>
        <sz val="12"/>
        <rFont val="ＭＳ 明朝"/>
        <family val="1"/>
        <charset val="128"/>
      </rPr>
      <t>容</t>
    </r>
    <rPh sb="0" eb="1">
      <t>ヘン</t>
    </rPh>
    <rPh sb="6" eb="7">
      <t>ナイ</t>
    </rPh>
    <rPh sb="8" eb="9">
      <t>カタチ</t>
    </rPh>
    <phoneticPr fontId="22"/>
  </si>
  <si>
    <t>供給地点数</t>
    <rPh sb="0" eb="2">
      <t>キョウキュウ</t>
    </rPh>
    <rPh sb="2" eb="4">
      <t>チテン</t>
    </rPh>
    <rPh sb="4" eb="5">
      <t>スウ</t>
    </rPh>
    <phoneticPr fontId="2"/>
  </si>
  <si>
    <t>延供給地点数</t>
    <rPh sb="1" eb="3">
      <t>キョウキュウ</t>
    </rPh>
    <phoneticPr fontId="2"/>
  </si>
  <si>
    <t>（住民税（法人税割に限る。））</t>
    <rPh sb="1" eb="4">
      <t>ジュウミンゼイ</t>
    </rPh>
    <rPh sb="5" eb="8">
      <t>ホウジンゼイ</t>
    </rPh>
    <rPh sb="8" eb="9">
      <t>ワ</t>
    </rPh>
    <rPh sb="10" eb="11">
      <t>カギ</t>
    </rPh>
    <phoneticPr fontId="2"/>
  </si>
  <si>
    <t>　届出供給約款料金原価　（Ｂ）　－　（Ａ）</t>
    <phoneticPr fontId="20"/>
  </si>
  <si>
    <t>様式第１０（第１３条関係）</t>
    <rPh sb="0" eb="2">
      <t>ヨウシキ</t>
    </rPh>
    <rPh sb="2" eb="3">
      <t>ダイ</t>
    </rPh>
    <rPh sb="6" eb="7">
      <t>ダイ</t>
    </rPh>
    <rPh sb="9" eb="10">
      <t>ジョウ</t>
    </rPh>
    <rPh sb="10" eb="12">
      <t>カンケイ</t>
    </rPh>
    <phoneticPr fontId="2"/>
  </si>
  <si>
    <t>Y</t>
  </si>
  <si>
    <t>事業報酬額中の自己
資本相当分比率(g1)</t>
    <phoneticPr fontId="2"/>
  </si>
  <si>
    <t>　事業報酬額(L) ×　</t>
    <rPh sb="1" eb="3">
      <t>ジギョウ</t>
    </rPh>
    <rPh sb="3" eb="5">
      <t>ホウシュウ</t>
    </rPh>
    <rPh sb="5" eb="6">
      <t>ガク</t>
    </rPh>
    <phoneticPr fontId="2"/>
  </si>
  <si>
    <t>×　事業税率(g2)/（1-事業税率）＝ 事業税(G)</t>
    <phoneticPr fontId="2"/>
  </si>
  <si>
    <t>　　令和　　年　　月　～　令和　　年　　月分</t>
    <rPh sb="2" eb="4">
      <t>レイワ</t>
    </rPh>
    <rPh sb="6" eb="7">
      <t>ネン</t>
    </rPh>
    <rPh sb="9" eb="10">
      <t>ガツ</t>
    </rPh>
    <rPh sb="13" eb="15">
      <t>レイワ</t>
    </rPh>
    <rPh sb="17" eb="18">
      <t>ネン</t>
    </rPh>
    <rPh sb="20" eb="21">
      <t>ガツ</t>
    </rPh>
    <rPh sb="21" eb="22">
      <t>ブン</t>
    </rPh>
    <phoneticPr fontId="22"/>
  </si>
  <si>
    <t>（原資算定期間 ： 令和　　　年　　　月　～　令和　　　年　　　月）</t>
    <rPh sb="1" eb="3">
      <t>ゲンシ</t>
    </rPh>
    <rPh sb="3" eb="5">
      <t>サンテイ</t>
    </rPh>
    <rPh sb="5" eb="7">
      <t>キカン</t>
    </rPh>
    <rPh sb="10" eb="12">
      <t>レイワ</t>
    </rPh>
    <rPh sb="15" eb="16">
      <t>ネン</t>
    </rPh>
    <rPh sb="19" eb="20">
      <t>ツキ</t>
    </rPh>
    <rPh sb="23" eb="25">
      <t>レイワ</t>
    </rPh>
    <rPh sb="28" eb="29">
      <t>ネン</t>
    </rPh>
    <rPh sb="32" eb="33">
      <t>ツキ</t>
    </rPh>
    <phoneticPr fontId="20"/>
  </si>
  <si>
    <t>考え方…車両リース費用は、車両を投資したと仮定した場合の修繕費、減価償却費、固定資産税、</t>
    <rPh sb="0" eb="1">
      <t>カンガ</t>
    </rPh>
    <rPh sb="2" eb="3">
      <t>カタ</t>
    </rPh>
    <rPh sb="4" eb="6">
      <t>シャリョウ</t>
    </rPh>
    <rPh sb="9" eb="11">
      <t>ヒヨウ</t>
    </rPh>
    <rPh sb="13" eb="15">
      <t>シャリョウ</t>
    </rPh>
    <rPh sb="16" eb="18">
      <t>トウシ</t>
    </rPh>
    <rPh sb="21" eb="23">
      <t>カテイ</t>
    </rPh>
    <rPh sb="25" eb="27">
      <t>バアイ</t>
    </rPh>
    <rPh sb="28" eb="31">
      <t>シュウゼンヒ</t>
    </rPh>
    <rPh sb="32" eb="34">
      <t>ゲンカ</t>
    </rPh>
    <rPh sb="34" eb="36">
      <t>ショウキャク</t>
    </rPh>
    <rPh sb="36" eb="37">
      <t>ヒ</t>
    </rPh>
    <rPh sb="38" eb="40">
      <t>コテイ</t>
    </rPh>
    <rPh sb="40" eb="42">
      <t>シサン</t>
    </rPh>
    <rPh sb="42" eb="43">
      <t>ゼイ</t>
    </rPh>
    <phoneticPr fontId="22"/>
  </si>
  <si>
    <t>令和2年
7月22日
以降</t>
    <rPh sb="0" eb="2">
      <t>レイワ</t>
    </rPh>
    <rPh sb="3" eb="4">
      <t>ネン</t>
    </rPh>
    <rPh sb="6" eb="7">
      <t>ガツ</t>
    </rPh>
    <rPh sb="9" eb="10">
      <t>ニチ</t>
    </rPh>
    <rPh sb="11" eb="13">
      <t>イコウ</t>
    </rPh>
    <phoneticPr fontId="2"/>
  </si>
  <si>
    <t>平成29年
4月1日～
令和2年
7月21日</t>
    <rPh sb="0" eb="2">
      <t>ヘイセイ</t>
    </rPh>
    <rPh sb="4" eb="5">
      <t>ネン</t>
    </rPh>
    <rPh sb="7" eb="8">
      <t>ガツ</t>
    </rPh>
    <rPh sb="9" eb="10">
      <t>ニチ</t>
    </rPh>
    <rPh sb="12" eb="14">
      <t>レイワ</t>
    </rPh>
    <rPh sb="15" eb="16">
      <t>ネン</t>
    </rPh>
    <rPh sb="18" eb="19">
      <t>ガツ</t>
    </rPh>
    <rPh sb="21" eb="22">
      <t>ニチ</t>
    </rPh>
    <phoneticPr fontId="2"/>
  </si>
  <si>
    <t xml:space="preserve">  H29.4.1～R2.7.21     =17</t>
    <phoneticPr fontId="2"/>
  </si>
  <si>
    <t xml:space="preserve">  R2.7.22以降          =18</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</si>
</sst>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8">
    <numFmt numFmtId="176" formatCode="0.0"/>
    <numFmt numFmtId="177" formatCode=";;;"/>
    <numFmt numFmtId="178" formatCode="0.0%"/>
    <numFmt numFmtId="179" formatCode="#,##0.0"/>
    <numFmt numFmtId="180" formatCode="\(General\);\(\-General\)"/>
    <numFmt numFmtId="181" formatCode="0.00000"/>
    <numFmt numFmtId="182" formatCode="0.00_);[Red]\(0.00\)"/>
    <numFmt numFmtId="183" formatCode="#,##0.00_ "/>
    <numFmt numFmtId="184" formatCode="#,##0_ "/>
    <numFmt numFmtId="185" formatCode="#,##0_);[Red]\(#,##0\)"/>
    <numFmt numFmtId="186" formatCode="#,##0;[Red]#,##0"/>
    <numFmt numFmtId="187" formatCode="#,##0_);\(#,##0\)"/>
    <numFmt numFmtId="188" formatCode="#,##0.0_ "/>
    <numFmt numFmtId="189" formatCode="#,##0.0;[Red]\-#,##0.0"/>
    <numFmt numFmtId="190" formatCode="#,##0&quot;円&quot;"/>
    <numFmt numFmtId="191" formatCode="#,##0.00&quot;㎡&quot;"/>
    <numFmt numFmtId="192" formatCode="#,##0&quot;円/㎡&quot;"/>
    <numFmt numFmtId="193" formatCode="0.0_ "/>
    <numFmt numFmtId="194" formatCode="0.00_ "/>
    <numFmt numFmtId="195" formatCode="0.000_ "/>
    <numFmt numFmtId="196" formatCode="0.0000_ "/>
    <numFmt numFmtId="197" formatCode="[$-411]ggge&quot;年&quot;m&quot;月&quot;d&quot;日&quot;;@"/>
    <numFmt numFmtId="198" formatCode="&quot;小数点第　&quot;0"/>
    <numFmt numFmtId="199" formatCode="#,##0.000;[Red]#,##0.000"/>
    <numFmt numFmtId="200" formatCode="#,##0.0000;[Red]#,##0.0000"/>
    <numFmt numFmtId="201" formatCode="0.00&quot; 円／㎥&quot;"/>
    <numFmt numFmtId="202" formatCode="#,##0&quot;㎡&quot;"/>
    <numFmt numFmtId="203" formatCode="#,##0&quot;ヶ月&quot;"/>
    <numFmt numFmtId="204" formatCode="&quot;×    &quot;0.0&quot;    ×&quot;"/>
    <numFmt numFmtId="205" formatCode="0.000&quot;    ＝&quot;"/>
    <numFmt numFmtId="206" formatCode="0.00000_ "/>
    <numFmt numFmtId="207" formatCode="0&quot;㎥まで&quot;"/>
    <numFmt numFmtId="208" formatCode="0&quot;㎥&quot;&quot;を&quot;&quot;超&quot;&quot;え&quot;&quot;&quot;"/>
    <numFmt numFmtId="209" formatCode="0&quot;㎥&quot;&quot;を&quot;&quot;超&quot;&quot;え&quot;&quot;る&quot;&quot;も&quot;&quot;の&quot;"/>
    <numFmt numFmtId="210" formatCode="#,##0.0_);[Red]\(#,##0.0\)"/>
    <numFmt numFmtId="211" formatCode="&quot;(A)          &quot;#,##0.00"/>
    <numFmt numFmtId="212" formatCode="&quot;(B)          &quot;#,##0.00"/>
    <numFmt numFmtId="213" formatCode="&quot;×&quot;0.0"/>
    <numFmt numFmtId="214" formatCode="&quot;×&quot;0.00"/>
    <numFmt numFmtId="215" formatCode="&quot;(B)×&quot;0.00"/>
    <numFmt numFmtId="216" formatCode="&quot;(A)×&quot;0.00"/>
    <numFmt numFmtId="217" formatCode="&quot;(C)×&quot;0.00"/>
    <numFmt numFmtId="218" formatCode="#,##0&quot;地点&quot;"/>
    <numFmt numFmtId="219" formatCode="#,##0.0000;[Red]\-#,##0.0000"/>
    <numFmt numFmtId="220" formatCode="0.0000&quot; 円／㎥&quot;"/>
    <numFmt numFmtId="221" formatCode="0.0000\ "/>
    <numFmt numFmtId="222" formatCode="0&quot;年以降&quot;"/>
    <numFmt numFmtId="223" formatCode="0.000_);[Red]\(0.000\)"/>
    <numFmt numFmtId="224" formatCode="#,##0.0000_ "/>
    <numFmt numFmtId="225" formatCode="#,##0&quot;件の延需要家数とその販売量を一般・選択・大口で調整してください。&quot;"/>
    <numFmt numFmtId="226" formatCode="0&quot;月&quot;"/>
    <numFmt numFmtId="227" formatCode="#,##0.0&quot;     &quot;"/>
    <numFmt numFmtId="228" formatCode="#,##0&quot;     &quot;"/>
    <numFmt numFmtId="229" formatCode="#,##0;\-#,##0;&quot;-&quot;"/>
    <numFmt numFmtId="230" formatCode="&quot;$&quot;#,##0.0_);\(&quot;$&quot;#,##0.0\)"/>
    <numFmt numFmtId="231" formatCode="#,##0.0000"/>
    <numFmt numFmtId="232" formatCode="0.000"/>
    <numFmt numFmtId="233" formatCode="[&lt;=43585][$-411]ggge&quot;年&quot;m&quot;月&quot;d&quot;日&quot;;[&gt;=43831]ggge&quot;年&quot;m&quot;月&quot;d&quot;日&quot;;ggg&quot;元年&quot;m&quot;月&quot;d&quot;日&quot;\ "/>
  </numFmts>
  <fonts count="95">
    <font>
      <sz val="12"/>
      <name val="ＭＳ 明朝"/>
      <family val="1"/>
      <charset val="128"/>
    </font>
    <font>
      <sz val="12"/>
      <name val="ＭＳ ゴシック"/>
      <family val="3"/>
      <charset val="128"/>
    </font>
    <font>
      <sz val="6"/>
      <name val="ＭＳ Ｐ明朝"/>
      <family val="1"/>
      <charset val="128"/>
    </font>
    <font>
      <sz val="12"/>
      <color indexed="8"/>
      <name val="ＭＳ ゴシック"/>
      <family val="3"/>
      <charset val="128"/>
    </font>
    <font>
      <sz val="12"/>
      <color indexed="10"/>
      <name val="ＭＳ ゴシック"/>
      <family val="3"/>
      <charset val="128"/>
    </font>
    <font>
      <sz val="12"/>
      <color indexed="11"/>
      <name val="ＭＳ ゴシック"/>
      <family val="3"/>
      <charset val="128"/>
    </font>
    <font>
      <sz val="12"/>
      <color indexed="17"/>
      <name val="ＭＳ ゴシック"/>
      <family val="3"/>
      <charset val="128"/>
    </font>
    <font>
      <sz val="12"/>
      <color indexed="12"/>
      <name val="ＭＳ ゴシック"/>
      <family val="3"/>
      <charset val="128"/>
    </font>
    <font>
      <sz val="12"/>
      <name val="ＭＳ 明朝"/>
      <family val="1"/>
      <charset val="128"/>
    </font>
    <font>
      <sz val="14"/>
      <name val="ＭＳ 明朝"/>
      <family val="1"/>
      <charset val="128"/>
    </font>
    <font>
      <sz val="16"/>
      <color indexed="10"/>
      <name val="ＭＳ ゴシック"/>
      <family val="3"/>
      <charset val="128"/>
    </font>
    <font>
      <sz val="14"/>
      <name val="ＭＳ ゴシック"/>
      <family val="3"/>
      <charset val="128"/>
    </font>
    <font>
      <sz val="14"/>
      <color indexed="39"/>
      <name val="ＭＳ ゴシック"/>
      <family val="3"/>
      <charset val="128"/>
    </font>
    <font>
      <sz val="11"/>
      <name val="ＭＳ Ｐゴシック"/>
      <family val="3"/>
      <charset val="128"/>
    </font>
    <font>
      <sz val="12"/>
      <color indexed="39"/>
      <name val="ＭＳ ゴシック"/>
      <family val="3"/>
      <charset val="128"/>
    </font>
    <font>
      <sz val="16"/>
      <name val="ＭＳ ゴシック"/>
      <family val="3"/>
      <charset val="128"/>
    </font>
    <font>
      <sz val="14"/>
      <color indexed="10"/>
      <name val="ＭＳ ゴシック"/>
      <family val="3"/>
      <charset val="128"/>
    </font>
    <font>
      <sz val="16"/>
      <color indexed="39"/>
      <name val="ＭＳ ゴシック"/>
      <family val="3"/>
      <charset val="128"/>
    </font>
    <font>
      <sz val="18"/>
      <color indexed="10"/>
      <name val="ＭＳ ゴシック"/>
      <family val="3"/>
      <charset val="128"/>
    </font>
    <font>
      <b/>
      <sz val="14"/>
      <name val="ＭＳ ゴシック"/>
      <family val="3"/>
      <charset val="128"/>
    </font>
    <font>
      <sz val="6"/>
      <name val="ＭＳ Ｐゴシック"/>
      <family val="3"/>
      <charset val="128"/>
    </font>
    <font>
      <sz val="11"/>
      <name val="ＭＳ 明朝"/>
      <family val="1"/>
      <charset val="128"/>
    </font>
    <font>
      <sz val="6"/>
      <name val="ＭＳ 明朝"/>
      <family val="1"/>
      <charset val="128"/>
    </font>
    <font>
      <sz val="18"/>
      <name val="ＭＳ 明朝"/>
      <family val="1"/>
      <charset val="128"/>
    </font>
    <font>
      <u/>
      <sz val="12"/>
      <name val="ＭＳ 明朝"/>
      <family val="1"/>
      <charset val="128"/>
    </font>
    <font>
      <sz val="12"/>
      <name val="ＭＳ 明朝"/>
      <family val="1"/>
      <charset val="128"/>
    </font>
    <font>
      <b/>
      <sz val="12"/>
      <name val="ＭＳ 明朝"/>
      <family val="1"/>
      <charset val="128"/>
    </font>
    <font>
      <sz val="12"/>
      <name val="ＭＳ 明朝"/>
      <family val="1"/>
      <charset val="128"/>
    </font>
    <font>
      <sz val="12"/>
      <color indexed="10"/>
      <name val="ＭＳ 明朝"/>
      <family val="1"/>
      <charset val="128"/>
    </font>
    <font>
      <sz val="12"/>
      <name val="ＭＳ 明朝"/>
      <family val="1"/>
      <charset val="128"/>
    </font>
    <font>
      <sz val="12"/>
      <color indexed="8"/>
      <name val="ＭＳ 明朝"/>
      <family val="1"/>
      <charset val="128"/>
    </font>
    <font>
      <sz val="16"/>
      <color indexed="17"/>
      <name val="ＭＳ ゴシック"/>
      <family val="3"/>
      <charset val="128"/>
    </font>
    <font>
      <sz val="12"/>
      <name val="ＭＳ 明朝"/>
      <family val="1"/>
      <charset val="128"/>
    </font>
    <font>
      <sz val="10"/>
      <name val="ＭＳ 明朝"/>
      <family val="1"/>
      <charset val="128"/>
    </font>
    <font>
      <sz val="9"/>
      <name val="ＭＳ 明朝"/>
      <family val="1"/>
      <charset val="128"/>
    </font>
    <font>
      <sz val="12"/>
      <name val="ＭＳ 明朝"/>
      <family val="1"/>
      <charset val="128"/>
    </font>
    <font>
      <b/>
      <sz val="9"/>
      <name val="ＭＳ 明朝"/>
      <family val="1"/>
      <charset val="128"/>
    </font>
    <font>
      <sz val="12"/>
      <name val="ＭＳ 明朝"/>
      <family val="1"/>
      <charset val="128"/>
    </font>
    <font>
      <b/>
      <sz val="20"/>
      <name val="ＭＳ 明朝"/>
      <family val="1"/>
      <charset val="128"/>
    </font>
    <font>
      <sz val="12"/>
      <name val="ＭＳ 明朝"/>
      <family val="1"/>
      <charset val="128"/>
    </font>
    <font>
      <sz val="12"/>
      <name val="明朝"/>
      <family val="1"/>
      <charset val="128"/>
    </font>
    <font>
      <u/>
      <sz val="12"/>
      <color indexed="8"/>
      <name val="ＭＳ 明朝"/>
      <family val="1"/>
      <charset val="128"/>
    </font>
    <font>
      <u/>
      <sz val="12"/>
      <color indexed="8"/>
      <name val="ＭＳ ゴシック"/>
      <family val="3"/>
      <charset val="128"/>
    </font>
    <font>
      <sz val="12"/>
      <color indexed="12"/>
      <name val="ＭＳ 明朝"/>
      <family val="1"/>
      <charset val="128"/>
    </font>
    <font>
      <sz val="24"/>
      <name val="ＭＳ 明朝"/>
      <family val="1"/>
      <charset val="128"/>
    </font>
    <font>
      <u/>
      <sz val="24"/>
      <name val="ＭＳ 明朝"/>
      <family val="1"/>
      <charset val="128"/>
    </font>
    <font>
      <sz val="12"/>
      <name val="ＭＳ 明朝"/>
      <family val="1"/>
      <charset val="128"/>
    </font>
    <font>
      <sz val="11"/>
      <name val="ＭＳ ゴシック"/>
      <family val="3"/>
      <charset val="128"/>
    </font>
    <font>
      <sz val="9"/>
      <color indexed="81"/>
      <name val="ＭＳ Ｐゴシック"/>
      <family val="3"/>
      <charset val="128"/>
    </font>
    <font>
      <vertAlign val="superscript"/>
      <sz val="12"/>
      <name val="ＭＳ 明朝"/>
      <family val="1"/>
      <charset val="128"/>
    </font>
    <font>
      <sz val="12"/>
      <color indexed="9"/>
      <name val="ＭＳ 明朝"/>
      <family val="1"/>
      <charset val="128"/>
    </font>
    <font>
      <b/>
      <u/>
      <sz val="16"/>
      <name val="明朝"/>
      <family val="1"/>
      <charset val="128"/>
    </font>
    <font>
      <vertAlign val="superscript"/>
      <sz val="9"/>
      <name val="明朝"/>
      <family val="3"/>
      <charset val="128"/>
    </font>
    <font>
      <sz val="6"/>
      <name val="明朝"/>
      <family val="3"/>
      <charset val="128"/>
    </font>
    <font>
      <b/>
      <sz val="12"/>
      <name val="明朝"/>
      <family val="1"/>
      <charset val="128"/>
    </font>
    <font>
      <sz val="10"/>
      <color indexed="10"/>
      <name val="ＭＳ ゴシック"/>
      <family val="3"/>
      <charset val="128"/>
    </font>
    <font>
      <sz val="12"/>
      <color indexed="57"/>
      <name val="ＭＳ ゴシック"/>
      <family val="3"/>
      <charset val="128"/>
    </font>
    <font>
      <sz val="12"/>
      <color indexed="21"/>
      <name val="ＭＳ ゴシック"/>
      <family val="3"/>
      <charset val="128"/>
    </font>
    <font>
      <sz val="12"/>
      <name val="ＭＳ 明朝"/>
      <family val="1"/>
      <charset val="128"/>
    </font>
    <font>
      <b/>
      <sz val="16"/>
      <name val="ＭＳ ゴシック"/>
      <family val="3"/>
      <charset val="128"/>
    </font>
    <font>
      <sz val="12"/>
      <color indexed="62"/>
      <name val="ＭＳ 明朝"/>
      <family val="1"/>
      <charset val="128"/>
    </font>
    <font>
      <sz val="12"/>
      <color indexed="81"/>
      <name val="ＭＳ Ｐゴシック"/>
      <family val="3"/>
      <charset val="128"/>
    </font>
    <font>
      <sz val="11"/>
      <color indexed="8"/>
      <name val="ＭＳ ゴシック"/>
      <family val="3"/>
      <charset val="128"/>
    </font>
    <font>
      <sz val="11"/>
      <color indexed="10"/>
      <name val="ＭＳ 明朝"/>
      <family val="1"/>
      <charset val="128"/>
    </font>
    <font>
      <sz val="20"/>
      <color indexed="8"/>
      <name val="ＭＳ ゴシック"/>
      <family val="3"/>
      <charset val="128"/>
    </font>
    <font>
      <sz val="14"/>
      <color indexed="8"/>
      <name val="ＭＳ ゴシック"/>
      <family val="3"/>
      <charset val="128"/>
    </font>
    <font>
      <sz val="18"/>
      <color indexed="8"/>
      <name val="ＭＳ ゴシック"/>
      <family val="3"/>
      <charset val="128"/>
    </font>
    <font>
      <sz val="16"/>
      <color indexed="8"/>
      <name val="ＭＳ ゴシック"/>
      <family val="3"/>
      <charset val="128"/>
    </font>
    <font>
      <b/>
      <sz val="18"/>
      <color indexed="8"/>
      <name val="ＭＳ ゴシック"/>
      <family val="3"/>
      <charset val="128"/>
    </font>
    <font>
      <b/>
      <sz val="14"/>
      <color indexed="8"/>
      <name val="ＭＳ ゴシック"/>
      <family val="3"/>
      <charset val="128"/>
    </font>
    <font>
      <b/>
      <sz val="16"/>
      <color indexed="8"/>
      <name val="ＭＳ ゴシック"/>
      <family val="3"/>
      <charset val="128"/>
    </font>
    <font>
      <sz val="10"/>
      <name val="ＭＳ ゴシック"/>
      <family val="3"/>
      <charset val="128"/>
    </font>
    <font>
      <sz val="18"/>
      <name val="ＭＳ ゴシック"/>
      <family val="3"/>
      <charset val="128"/>
    </font>
    <font>
      <sz val="12"/>
      <color indexed="9"/>
      <name val="ＭＳ ゴシック"/>
      <family val="3"/>
      <charset val="128"/>
    </font>
    <font>
      <sz val="14"/>
      <color indexed="12"/>
      <name val="ＭＳ ゴシック"/>
      <family val="3"/>
      <charset val="128"/>
    </font>
    <font>
      <sz val="10"/>
      <color indexed="81"/>
      <name val="ＭＳ Ｐゴシック"/>
      <family val="3"/>
      <charset val="128"/>
    </font>
    <font>
      <u/>
      <sz val="11"/>
      <name val="ＭＳ 明朝"/>
      <family val="1"/>
      <charset val="128"/>
    </font>
    <font>
      <sz val="7"/>
      <name val="ＭＳ Ｐ明朝"/>
      <family val="1"/>
      <charset val="128"/>
    </font>
    <font>
      <sz val="14"/>
      <color indexed="9"/>
      <name val="ＭＳ ゴシック"/>
      <family val="3"/>
      <charset val="128"/>
    </font>
    <font>
      <sz val="16"/>
      <color indexed="12"/>
      <name val="ＭＳ ゴシック"/>
      <family val="3"/>
      <charset val="128"/>
    </font>
    <font>
      <sz val="8"/>
      <color indexed="39"/>
      <name val="ＭＳ ゴシック"/>
      <family val="3"/>
      <charset val="128"/>
    </font>
    <font>
      <sz val="8"/>
      <name val="ＭＳ ゴシック"/>
      <family val="3"/>
      <charset val="128"/>
    </font>
    <font>
      <b/>
      <sz val="12"/>
      <color indexed="10"/>
      <name val="ＭＳ ゴシック"/>
      <family val="3"/>
      <charset val="128"/>
    </font>
    <font>
      <b/>
      <sz val="14"/>
      <color indexed="10"/>
      <name val="ＭＳ ゴシック"/>
      <family val="3"/>
      <charset val="128"/>
    </font>
    <font>
      <b/>
      <sz val="16"/>
      <color indexed="10"/>
      <name val="ＭＳ ゴシック"/>
      <family val="3"/>
      <charset val="128"/>
    </font>
    <font>
      <sz val="10"/>
      <color indexed="8"/>
      <name val="Arial"/>
      <family val="2"/>
    </font>
    <font>
      <sz val="8"/>
      <name val="Arial"/>
      <family val="2"/>
    </font>
    <font>
      <b/>
      <sz val="12"/>
      <name val="Arial"/>
      <family val="2"/>
    </font>
    <font>
      <sz val="11"/>
      <name val="明朝"/>
      <family val="1"/>
      <charset val="128"/>
    </font>
    <font>
      <sz val="10"/>
      <name val="Arial"/>
      <family val="2"/>
    </font>
    <font>
      <b/>
      <sz val="9"/>
      <color indexed="81"/>
      <name val="ＭＳ Ｐゴシック"/>
      <family val="3"/>
      <charset val="128"/>
    </font>
    <font>
      <b/>
      <sz val="10"/>
      <color indexed="81"/>
      <name val="ＭＳ Ｐゴシック"/>
      <family val="3"/>
      <charset val="128"/>
    </font>
    <font>
      <sz val="8"/>
      <name val="ＭＳ 明朝"/>
      <family val="1"/>
      <charset val="128"/>
    </font>
    <font>
      <sz val="12"/>
      <color theme="0"/>
      <name val="ＭＳ ゴシック"/>
      <family val="3"/>
      <charset val="128"/>
    </font>
    <font>
      <sz val="11"/>
      <color theme="0"/>
      <name val="ＭＳ ゴシック"/>
      <family val="3"/>
      <charset val="128"/>
    </font>
  </fonts>
  <fills count="20">
    <fill>
      <patternFill patternType="none"/>
    </fill>
    <fill>
      <patternFill patternType="gray125"/>
    </fill>
    <fill>
      <patternFill patternType="solid">
        <fgColor indexed="22"/>
        <bgColor indexed="64"/>
      </patternFill>
    </fill>
    <fill>
      <patternFill patternType="solid">
        <fgColor indexed="26"/>
        <bgColor indexed="64"/>
      </patternFill>
    </fill>
    <fill>
      <patternFill patternType="solid">
        <fgColor indexed="13"/>
        <bgColor indexed="64"/>
      </patternFill>
    </fill>
    <fill>
      <patternFill patternType="solid">
        <fgColor indexed="11"/>
        <bgColor indexed="64"/>
      </patternFill>
    </fill>
    <fill>
      <patternFill patternType="solid">
        <fgColor indexed="45"/>
        <bgColor indexed="64"/>
      </patternFill>
    </fill>
    <fill>
      <patternFill patternType="solid">
        <fgColor indexed="51"/>
        <bgColor indexed="64"/>
      </patternFill>
    </fill>
    <fill>
      <patternFill patternType="solid">
        <fgColor indexed="46"/>
        <bgColor indexed="64"/>
      </patternFill>
    </fill>
    <fill>
      <patternFill patternType="solid">
        <fgColor indexed="15"/>
        <bgColor indexed="64"/>
      </patternFill>
    </fill>
    <fill>
      <patternFill patternType="solid">
        <fgColor indexed="43"/>
        <bgColor indexed="64"/>
      </patternFill>
    </fill>
    <fill>
      <patternFill patternType="solid">
        <fgColor indexed="9"/>
        <bgColor indexed="64"/>
      </patternFill>
    </fill>
    <fill>
      <patternFill patternType="solid">
        <fgColor indexed="47"/>
        <bgColor indexed="64"/>
      </patternFill>
    </fill>
    <fill>
      <patternFill patternType="solid">
        <fgColor indexed="53"/>
        <bgColor indexed="64"/>
      </patternFill>
    </fill>
    <fill>
      <patternFill patternType="solid">
        <fgColor indexed="42"/>
        <bgColor indexed="64"/>
      </patternFill>
    </fill>
    <fill>
      <patternFill patternType="solid">
        <fgColor indexed="43"/>
        <bgColor indexed="14"/>
      </patternFill>
    </fill>
    <fill>
      <patternFill patternType="solid">
        <fgColor indexed="41"/>
        <bgColor indexed="64"/>
      </patternFill>
    </fill>
    <fill>
      <patternFill patternType="solid">
        <fgColor indexed="10"/>
        <bgColor indexed="64"/>
      </patternFill>
    </fill>
    <fill>
      <patternFill patternType="solid">
        <fgColor theme="0"/>
        <bgColor indexed="64"/>
      </patternFill>
    </fill>
    <fill>
      <patternFill patternType="solid">
        <fgColor theme="0" tint="-0.14999847407452621"/>
        <bgColor indexed="64"/>
      </patternFill>
    </fill>
  </fills>
  <borders count="516">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8"/>
      </left>
      <right/>
      <top style="thin">
        <color indexed="8"/>
      </top>
      <bottom/>
      <diagonal/>
    </border>
    <border>
      <left style="thin">
        <color indexed="8"/>
      </left>
      <right/>
      <top/>
      <bottom/>
      <diagonal/>
    </border>
    <border>
      <left/>
      <right/>
      <top style="thin">
        <color indexed="8"/>
      </top>
      <bottom/>
      <diagonal/>
    </border>
    <border>
      <left style="thin">
        <color indexed="8"/>
      </left>
      <right style="thin">
        <color indexed="64"/>
      </right>
      <top style="thin">
        <color indexed="8"/>
      </top>
      <bottom/>
      <diagonal/>
    </border>
    <border>
      <left style="thick">
        <color indexed="8"/>
      </left>
      <right/>
      <top style="thick">
        <color indexed="8"/>
      </top>
      <bottom/>
      <diagonal/>
    </border>
    <border>
      <left/>
      <right/>
      <top style="thick">
        <color indexed="8"/>
      </top>
      <bottom/>
      <diagonal/>
    </border>
    <border>
      <left style="thick">
        <color indexed="8"/>
      </left>
      <right/>
      <top/>
      <bottom/>
      <diagonal/>
    </border>
    <border>
      <left style="thick">
        <color indexed="8"/>
      </left>
      <right/>
      <top style="thin">
        <color indexed="8"/>
      </top>
      <bottom/>
      <diagonal/>
    </border>
    <border>
      <left style="thick">
        <color indexed="8"/>
      </left>
      <right/>
      <top style="double">
        <color indexed="8"/>
      </top>
      <bottom/>
      <diagonal/>
    </border>
    <border>
      <left/>
      <right/>
      <top style="double">
        <color indexed="8"/>
      </top>
      <bottom/>
      <diagonal/>
    </border>
    <border>
      <left style="thin">
        <color indexed="8"/>
      </left>
      <right/>
      <top style="double">
        <color indexed="8"/>
      </top>
      <bottom/>
      <diagonal/>
    </border>
    <border>
      <left style="thin">
        <color indexed="8"/>
      </left>
      <right style="thick">
        <color indexed="8"/>
      </right>
      <top style="thin">
        <color indexed="8"/>
      </top>
      <bottom style="dotted">
        <color indexed="8"/>
      </bottom>
      <diagonal/>
    </border>
    <border>
      <left style="thick">
        <color indexed="8"/>
      </left>
      <right/>
      <top style="dotted">
        <color indexed="8"/>
      </top>
      <bottom/>
      <diagonal/>
    </border>
    <border>
      <left style="thin">
        <color indexed="8"/>
      </left>
      <right/>
      <top style="dotted">
        <color indexed="8"/>
      </top>
      <bottom/>
      <diagonal/>
    </border>
    <border>
      <left style="thin">
        <color indexed="8"/>
      </left>
      <right/>
      <top style="thick">
        <color indexed="8"/>
      </top>
      <bottom/>
      <diagonal/>
    </border>
    <border>
      <left style="dashed">
        <color indexed="8"/>
      </left>
      <right/>
      <top/>
      <bottom/>
      <diagonal/>
    </border>
    <border>
      <left style="dotted">
        <color indexed="8"/>
      </left>
      <right/>
      <top/>
      <bottom/>
      <diagonal/>
    </border>
    <border>
      <left style="dashed">
        <color indexed="8"/>
      </left>
      <right/>
      <top style="thick">
        <color indexed="8"/>
      </top>
      <bottom/>
      <diagonal/>
    </border>
    <border>
      <left style="dotted">
        <color indexed="8"/>
      </left>
      <right/>
      <top style="thick">
        <color indexed="8"/>
      </top>
      <bottom/>
      <diagonal/>
    </border>
    <border>
      <left style="dashed">
        <color indexed="8"/>
      </left>
      <right/>
      <top style="thin">
        <color indexed="8"/>
      </top>
      <bottom/>
      <diagonal/>
    </border>
    <border>
      <left style="dotted">
        <color indexed="8"/>
      </left>
      <right/>
      <top style="thin">
        <color indexed="8"/>
      </top>
      <bottom/>
      <diagonal/>
    </border>
    <border>
      <left style="thick">
        <color indexed="64"/>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style="thin">
        <color indexed="64"/>
      </right>
      <top style="thick">
        <color indexed="64"/>
      </top>
      <bottom style="thick">
        <color indexed="64"/>
      </bottom>
      <diagonal/>
    </border>
    <border>
      <left style="thick">
        <color indexed="64"/>
      </left>
      <right/>
      <top/>
      <bottom/>
      <diagonal/>
    </border>
    <border>
      <left/>
      <right style="thick">
        <color indexed="64"/>
      </right>
      <top/>
      <bottom/>
      <diagonal/>
    </border>
    <border>
      <left style="thick">
        <color indexed="64"/>
      </left>
      <right style="thin">
        <color indexed="64"/>
      </right>
      <top/>
      <bottom style="thin">
        <color indexed="64"/>
      </bottom>
      <diagonal/>
    </border>
    <border>
      <left/>
      <right style="thick">
        <color indexed="64"/>
      </right>
      <top/>
      <bottom style="thin">
        <color indexed="64"/>
      </bottom>
      <diagonal/>
    </border>
    <border>
      <left style="thick">
        <color indexed="64"/>
      </left>
      <right style="thin">
        <color indexed="64"/>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top/>
      <bottom style="thick">
        <color indexed="64"/>
      </bottom>
      <diagonal/>
    </border>
    <border>
      <left/>
      <right style="thick">
        <color indexed="64"/>
      </right>
      <top/>
      <bottom style="thick">
        <color indexed="64"/>
      </bottom>
      <diagonal/>
    </border>
    <border>
      <left style="thick">
        <color indexed="64"/>
      </left>
      <right style="thin">
        <color indexed="64"/>
      </right>
      <top style="thin">
        <color indexed="64"/>
      </top>
      <bottom style="thick">
        <color indexed="64"/>
      </bottom>
      <diagonal/>
    </border>
    <border>
      <left/>
      <right style="thick">
        <color indexed="64"/>
      </right>
      <top style="thin">
        <color indexed="64"/>
      </top>
      <bottom style="thick">
        <color indexed="64"/>
      </bottom>
      <diagonal/>
    </border>
    <border>
      <left style="dashed">
        <color indexed="8"/>
      </left>
      <right/>
      <top style="thin">
        <color indexed="64"/>
      </top>
      <bottom style="thin">
        <color indexed="64"/>
      </bottom>
      <diagonal/>
    </border>
    <border>
      <left style="dotted">
        <color indexed="8"/>
      </left>
      <right/>
      <top style="thin">
        <color indexed="64"/>
      </top>
      <bottom style="thin">
        <color indexed="64"/>
      </bottom>
      <diagonal/>
    </border>
    <border>
      <left style="thick">
        <color indexed="8"/>
      </left>
      <right/>
      <top style="thin">
        <color indexed="64"/>
      </top>
      <bottom style="thin">
        <color indexed="64"/>
      </bottom>
      <diagonal/>
    </border>
    <border>
      <left style="thin">
        <color indexed="8"/>
      </left>
      <right/>
      <top style="thin">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style="thin">
        <color indexed="64"/>
      </top>
      <bottom style="dashed">
        <color indexed="64"/>
      </bottom>
      <diagonal/>
    </border>
    <border>
      <left/>
      <right style="thin">
        <color indexed="64"/>
      </right>
      <top style="thin">
        <color indexed="64"/>
      </top>
      <bottom style="dashed">
        <color indexed="64"/>
      </bottom>
      <diagonal/>
    </border>
    <border>
      <left style="medium">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bottom/>
      <diagonal/>
    </border>
    <border>
      <left/>
      <right style="thin">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right/>
      <top style="thin">
        <color indexed="64"/>
      </top>
      <bottom/>
      <diagonal/>
    </border>
    <border>
      <left style="thin">
        <color indexed="8"/>
      </left>
      <right style="thin">
        <color indexed="8"/>
      </right>
      <top style="thick">
        <color indexed="8"/>
      </top>
      <bottom style="thick">
        <color indexed="8"/>
      </bottom>
      <diagonal/>
    </border>
    <border>
      <left style="thin">
        <color indexed="8"/>
      </left>
      <right style="thick">
        <color indexed="8"/>
      </right>
      <top style="thick">
        <color indexed="8"/>
      </top>
      <bottom style="thick">
        <color indexed="8"/>
      </bottom>
      <diagonal/>
    </border>
    <border>
      <left/>
      <right style="thick">
        <color indexed="8"/>
      </right>
      <top/>
      <bottom/>
      <diagonal/>
    </border>
    <border>
      <left style="thick">
        <color indexed="8"/>
      </left>
      <right/>
      <top style="thin">
        <color indexed="8"/>
      </top>
      <bottom style="thick">
        <color indexed="8"/>
      </bottom>
      <diagonal/>
    </border>
    <border>
      <left style="thin">
        <color indexed="8"/>
      </left>
      <right/>
      <top style="thin">
        <color indexed="8"/>
      </top>
      <bottom style="thick">
        <color indexed="8"/>
      </bottom>
      <diagonal/>
    </border>
    <border>
      <left style="thin">
        <color indexed="8"/>
      </left>
      <right style="thick">
        <color indexed="8"/>
      </right>
      <top style="thin">
        <color indexed="8"/>
      </top>
      <bottom style="thick">
        <color indexed="8"/>
      </bottom>
      <diagonal/>
    </border>
    <border>
      <left style="thick">
        <color indexed="8"/>
      </left>
      <right/>
      <top style="dotted">
        <color indexed="8"/>
      </top>
      <bottom style="dotted">
        <color indexed="8"/>
      </bottom>
      <diagonal/>
    </border>
    <border>
      <left style="thick">
        <color indexed="8"/>
      </left>
      <right style="thick">
        <color indexed="8"/>
      </right>
      <top/>
      <bottom style="thick">
        <color indexed="8"/>
      </bottom>
      <diagonal/>
    </border>
    <border>
      <left style="thick">
        <color indexed="8"/>
      </left>
      <right style="thick">
        <color indexed="8"/>
      </right>
      <top style="dotted">
        <color indexed="8"/>
      </top>
      <bottom style="dotted">
        <color indexed="8"/>
      </bottom>
      <diagonal/>
    </border>
    <border>
      <left style="thin">
        <color indexed="8"/>
      </left>
      <right style="thin">
        <color indexed="8"/>
      </right>
      <top style="dotted">
        <color indexed="8"/>
      </top>
      <bottom style="dotted">
        <color indexed="8"/>
      </bottom>
      <diagonal/>
    </border>
    <border>
      <left style="thin">
        <color indexed="8"/>
      </left>
      <right style="thin">
        <color indexed="8"/>
      </right>
      <top style="dotted">
        <color indexed="8"/>
      </top>
      <bottom style="thick">
        <color indexed="8"/>
      </bottom>
      <diagonal/>
    </border>
    <border>
      <left/>
      <right/>
      <top/>
      <bottom style="thick">
        <color indexed="8"/>
      </bottom>
      <diagonal/>
    </border>
    <border>
      <left style="medium">
        <color indexed="64"/>
      </left>
      <right/>
      <top style="medium">
        <color indexed="64"/>
      </top>
      <bottom/>
      <diagonal/>
    </border>
    <border>
      <left style="thin">
        <color indexed="8"/>
      </left>
      <right/>
      <top style="medium">
        <color indexed="64"/>
      </top>
      <bottom/>
      <diagonal/>
    </border>
    <border>
      <left/>
      <right/>
      <top style="medium">
        <color indexed="64"/>
      </top>
      <bottom/>
      <diagonal/>
    </border>
    <border>
      <left/>
      <right style="thin">
        <color indexed="8"/>
      </right>
      <top style="medium">
        <color indexed="64"/>
      </top>
      <bottom/>
      <diagonal/>
    </border>
    <border>
      <left/>
      <right style="thin">
        <color indexed="8"/>
      </right>
      <top/>
      <bottom style="thin">
        <color indexed="8"/>
      </bottom>
      <diagonal/>
    </border>
    <border>
      <left style="thin">
        <color indexed="8"/>
      </left>
      <right style="medium">
        <color indexed="64"/>
      </right>
      <top style="thin">
        <color indexed="8"/>
      </top>
      <bottom/>
      <diagonal/>
    </border>
    <border>
      <left style="thin">
        <color indexed="8"/>
      </left>
      <right style="medium">
        <color indexed="64"/>
      </right>
      <top style="thin">
        <color indexed="8"/>
      </top>
      <bottom style="medium">
        <color indexed="64"/>
      </bottom>
      <diagonal/>
    </border>
    <border>
      <left/>
      <right/>
      <top style="thin">
        <color indexed="8"/>
      </top>
      <bottom style="medium">
        <color indexed="64"/>
      </bottom>
      <diagonal/>
    </border>
    <border>
      <left/>
      <right style="medium">
        <color indexed="64"/>
      </right>
      <top style="medium">
        <color indexed="64"/>
      </top>
      <bottom/>
      <diagonal/>
    </border>
    <border>
      <left/>
      <right style="medium">
        <color indexed="64"/>
      </right>
      <top style="thin">
        <color indexed="8"/>
      </top>
      <bottom style="medium">
        <color indexed="64"/>
      </bottom>
      <diagonal/>
    </border>
    <border>
      <left style="medium">
        <color indexed="64"/>
      </left>
      <right/>
      <top style="thin">
        <color indexed="8"/>
      </top>
      <bottom style="medium">
        <color indexed="64"/>
      </bottom>
      <diagonal/>
    </border>
    <border>
      <left style="thin">
        <color indexed="8"/>
      </left>
      <right/>
      <top style="thin">
        <color indexed="8"/>
      </top>
      <bottom style="medium">
        <color indexed="64"/>
      </bottom>
      <diagonal/>
    </border>
    <border>
      <left style="medium">
        <color indexed="64"/>
      </left>
      <right style="medium">
        <color indexed="64"/>
      </right>
      <top style="medium">
        <color indexed="64"/>
      </top>
      <bottom/>
      <diagonal/>
    </border>
    <border>
      <left style="thin">
        <color indexed="8"/>
      </left>
      <right style="medium">
        <color indexed="64"/>
      </right>
      <top style="medium">
        <color indexed="64"/>
      </top>
      <bottom/>
      <diagonal/>
    </border>
    <border>
      <left style="medium">
        <color indexed="64"/>
      </left>
      <right style="medium">
        <color indexed="64"/>
      </right>
      <top style="thin">
        <color indexed="8"/>
      </top>
      <bottom/>
      <diagonal/>
    </border>
    <border>
      <left style="medium">
        <color indexed="64"/>
      </left>
      <right/>
      <top style="thin">
        <color indexed="8"/>
      </top>
      <bottom/>
      <diagonal/>
    </border>
    <border>
      <left style="medium">
        <color indexed="64"/>
      </left>
      <right style="medium">
        <color indexed="64"/>
      </right>
      <top style="thin">
        <color indexed="8"/>
      </top>
      <bottom style="medium">
        <color indexed="64"/>
      </bottom>
      <diagonal/>
    </border>
    <border>
      <left style="thin">
        <color indexed="64"/>
      </left>
      <right style="thick">
        <color indexed="64"/>
      </right>
      <top style="dashed">
        <color indexed="64"/>
      </top>
      <bottom style="dashed">
        <color indexed="64"/>
      </bottom>
      <diagonal/>
    </border>
    <border>
      <left style="thin">
        <color indexed="64"/>
      </left>
      <right style="thick">
        <color indexed="64"/>
      </right>
      <top style="dashed">
        <color indexed="64"/>
      </top>
      <bottom style="thick">
        <color indexed="64"/>
      </bottom>
      <diagonal/>
    </border>
    <border>
      <left style="thin">
        <color indexed="64"/>
      </left>
      <right style="thick">
        <color indexed="64"/>
      </right>
      <top/>
      <bottom style="dashed">
        <color indexed="64"/>
      </bottom>
      <diagonal/>
    </border>
    <border>
      <left style="dashed">
        <color indexed="64"/>
      </left>
      <right style="thin">
        <color indexed="64"/>
      </right>
      <top/>
      <bottom style="dashed">
        <color indexed="64"/>
      </bottom>
      <diagonal/>
    </border>
    <border>
      <left style="dashed">
        <color indexed="64"/>
      </left>
      <right style="thin">
        <color indexed="64"/>
      </right>
      <top style="dashed">
        <color indexed="64"/>
      </top>
      <bottom style="dashed">
        <color indexed="64"/>
      </bottom>
      <diagonal/>
    </border>
    <border>
      <left style="thick">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8"/>
      </left>
      <right style="thick">
        <color indexed="64"/>
      </right>
      <top style="thick">
        <color indexed="8"/>
      </top>
      <bottom style="thick">
        <color indexed="8"/>
      </bottom>
      <diagonal/>
    </border>
    <border>
      <left style="thin">
        <color indexed="8"/>
      </left>
      <right/>
      <top style="hair">
        <color indexed="8"/>
      </top>
      <bottom style="hair">
        <color indexed="8"/>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bottom/>
      <diagonal/>
    </border>
    <border>
      <left style="thick">
        <color indexed="64"/>
      </left>
      <right/>
      <top style="thin">
        <color indexed="64"/>
      </top>
      <bottom style="thin">
        <color indexed="64"/>
      </bottom>
      <diagonal/>
    </border>
    <border>
      <left style="thick">
        <color indexed="64"/>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style="thin">
        <color indexed="64"/>
      </right>
      <top style="thick">
        <color indexed="64"/>
      </top>
      <bottom style="thin">
        <color indexed="64"/>
      </bottom>
      <diagonal/>
    </border>
    <border>
      <left style="medium">
        <color indexed="64"/>
      </left>
      <right style="thin">
        <color indexed="8"/>
      </right>
      <top style="thin">
        <color indexed="8"/>
      </top>
      <bottom/>
      <diagonal/>
    </border>
    <border>
      <left style="medium">
        <color indexed="64"/>
      </left>
      <right style="thin">
        <color indexed="8"/>
      </right>
      <top/>
      <bottom/>
      <diagonal/>
    </border>
    <border>
      <left style="medium">
        <color indexed="64"/>
      </left>
      <right style="thin">
        <color indexed="8"/>
      </right>
      <top/>
      <bottom style="thin">
        <color indexed="8"/>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style="hair">
        <color indexed="64"/>
      </bottom>
      <diagonal/>
    </border>
    <border>
      <left style="medium">
        <color indexed="64"/>
      </left>
      <right style="thin">
        <color indexed="64"/>
      </right>
      <top/>
      <bottom style="medium">
        <color indexed="64"/>
      </bottom>
      <diagonal/>
    </border>
    <border>
      <left style="medium">
        <color indexed="64"/>
      </left>
      <right style="thin">
        <color indexed="64"/>
      </right>
      <top/>
      <bottom style="hair">
        <color indexed="64"/>
      </bottom>
      <diagonal/>
    </border>
    <border>
      <left/>
      <right style="medium">
        <color indexed="64"/>
      </right>
      <top/>
      <bottom style="hair">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hair">
        <color indexed="64"/>
      </bottom>
      <diagonal/>
    </border>
    <border>
      <left/>
      <right style="thin">
        <color indexed="64"/>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thin">
        <color indexed="64"/>
      </right>
      <top style="hair">
        <color indexed="64"/>
      </top>
      <bottom style="dotted">
        <color indexed="64"/>
      </bottom>
      <diagonal/>
    </border>
    <border>
      <left/>
      <right style="thin">
        <color indexed="64"/>
      </right>
      <top style="hair">
        <color indexed="64"/>
      </top>
      <bottom style="dotted">
        <color indexed="64"/>
      </bottom>
      <diagonal/>
    </border>
    <border>
      <left/>
      <right style="medium">
        <color indexed="64"/>
      </right>
      <top style="hair">
        <color indexed="64"/>
      </top>
      <bottom style="dotted">
        <color indexed="64"/>
      </bottom>
      <diagonal/>
    </border>
    <border>
      <left style="medium">
        <color indexed="64"/>
      </left>
      <right style="thin">
        <color indexed="64"/>
      </right>
      <top style="hair">
        <color indexed="64"/>
      </top>
      <bottom/>
      <diagonal/>
    </border>
    <border>
      <left/>
      <right style="thin">
        <color indexed="64"/>
      </right>
      <top style="hair">
        <color indexed="64"/>
      </top>
      <bottom/>
      <diagonal/>
    </border>
    <border>
      <left/>
      <right style="medium">
        <color indexed="64"/>
      </right>
      <top style="hair">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bottom/>
      <diagonal/>
    </border>
    <border>
      <left style="medium">
        <color indexed="64"/>
      </left>
      <right style="medium">
        <color indexed="64"/>
      </right>
      <top style="hair">
        <color indexed="64"/>
      </top>
      <bottom style="dotted">
        <color indexed="64"/>
      </bottom>
      <diagonal/>
    </border>
    <border>
      <left style="medium">
        <color indexed="64"/>
      </left>
      <right style="medium">
        <color indexed="64"/>
      </right>
      <top style="hair">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dotted">
        <color indexed="64"/>
      </bottom>
      <diagonal/>
    </border>
    <border>
      <left style="medium">
        <color indexed="64"/>
      </left>
      <right style="medium">
        <color indexed="64"/>
      </right>
      <top style="dotted">
        <color indexed="64"/>
      </top>
      <bottom style="hair">
        <color indexed="64"/>
      </bottom>
      <diagonal/>
    </border>
    <border>
      <left style="thin">
        <color indexed="8"/>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8"/>
      </left>
      <right style="medium">
        <color indexed="64"/>
      </right>
      <top style="medium">
        <color indexed="64"/>
      </top>
      <bottom style="medium">
        <color indexed="64"/>
      </bottom>
      <diagonal/>
    </border>
    <border>
      <left style="medium">
        <color indexed="64"/>
      </left>
      <right/>
      <top style="dotted">
        <color indexed="8"/>
      </top>
      <bottom/>
      <diagonal/>
    </border>
    <border>
      <left style="medium">
        <color indexed="64"/>
      </left>
      <right style="thin">
        <color indexed="64"/>
      </right>
      <top style="medium">
        <color indexed="64"/>
      </top>
      <bottom style="dotted">
        <color indexed="64"/>
      </bottom>
      <diagonal/>
    </border>
    <border>
      <left/>
      <right style="thin">
        <color indexed="64"/>
      </right>
      <top style="medium">
        <color indexed="64"/>
      </top>
      <bottom style="dotted">
        <color indexed="64"/>
      </bottom>
      <diagonal/>
    </border>
    <border>
      <left/>
      <right style="medium">
        <color indexed="64"/>
      </right>
      <top style="medium">
        <color indexed="64"/>
      </top>
      <bottom style="dotted">
        <color indexed="64"/>
      </bottom>
      <diagonal/>
    </border>
    <border>
      <left style="thick">
        <color indexed="64"/>
      </left>
      <right style="thin">
        <color indexed="64"/>
      </right>
      <top style="thick">
        <color indexed="64"/>
      </top>
      <bottom/>
      <diagonal/>
    </border>
    <border>
      <left style="thin">
        <color indexed="64"/>
      </left>
      <right style="thin">
        <color indexed="64"/>
      </right>
      <top style="thick">
        <color indexed="64"/>
      </top>
      <bottom/>
      <diagonal/>
    </border>
    <border>
      <left style="thin">
        <color indexed="64"/>
      </left>
      <right/>
      <top style="thick">
        <color indexed="64"/>
      </top>
      <bottom/>
      <diagonal/>
    </border>
    <border>
      <left style="double">
        <color indexed="64"/>
      </left>
      <right style="thick">
        <color indexed="64"/>
      </right>
      <top style="thick">
        <color indexed="64"/>
      </top>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thin">
        <color indexed="64"/>
      </right>
      <top style="hair">
        <color indexed="64"/>
      </top>
      <bottom style="thick">
        <color indexed="64"/>
      </bottom>
      <diagonal/>
    </border>
    <border>
      <left/>
      <right/>
      <top style="medium">
        <color indexed="64"/>
      </top>
      <bottom style="thin">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thick">
        <color indexed="8"/>
      </left>
      <right/>
      <top style="dotted">
        <color indexed="8"/>
      </top>
      <bottom style="thin">
        <color indexed="8"/>
      </bottom>
      <diagonal/>
    </border>
    <border>
      <left style="thick">
        <color indexed="8"/>
      </left>
      <right/>
      <top/>
      <bottom style="dotted">
        <color indexed="8"/>
      </bottom>
      <diagonal/>
    </border>
    <border>
      <left style="thick">
        <color indexed="8"/>
      </left>
      <right/>
      <top style="thick">
        <color indexed="8"/>
      </top>
      <bottom style="thin">
        <color indexed="64"/>
      </bottom>
      <diagonal/>
    </border>
    <border>
      <left style="thick">
        <color indexed="8"/>
      </left>
      <right/>
      <top style="dotted">
        <color indexed="8"/>
      </top>
      <bottom style="thin">
        <color indexed="64"/>
      </bottom>
      <diagonal/>
    </border>
    <border>
      <left style="thick">
        <color indexed="8"/>
      </left>
      <right/>
      <top/>
      <bottom style="thick">
        <color indexed="8"/>
      </bottom>
      <diagonal/>
    </border>
    <border>
      <left/>
      <right/>
      <top style="dotted">
        <color indexed="8"/>
      </top>
      <bottom/>
      <diagonal/>
    </border>
    <border>
      <left style="thick">
        <color indexed="8"/>
      </left>
      <right style="dotted">
        <color indexed="8"/>
      </right>
      <top style="thin">
        <color indexed="8"/>
      </top>
      <bottom/>
      <diagonal/>
    </border>
    <border>
      <left style="thick">
        <color indexed="8"/>
      </left>
      <right style="dotted">
        <color indexed="8"/>
      </right>
      <top/>
      <bottom style="thin">
        <color indexed="8"/>
      </bottom>
      <diagonal/>
    </border>
    <border>
      <left/>
      <right/>
      <top/>
      <bottom style="medium">
        <color indexed="64"/>
      </bottom>
      <diagonal/>
    </border>
    <border>
      <left style="thin">
        <color indexed="8"/>
      </left>
      <right/>
      <top/>
      <bottom style="medium">
        <color indexed="64"/>
      </bottom>
      <diagonal/>
    </border>
    <border>
      <left/>
      <right style="medium">
        <color indexed="64"/>
      </right>
      <top style="thin">
        <color indexed="8"/>
      </top>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8"/>
      </left>
      <right style="medium">
        <color indexed="64"/>
      </right>
      <top/>
      <bottom/>
      <diagonal/>
    </border>
    <border>
      <left style="thin">
        <color indexed="8"/>
      </left>
      <right style="medium">
        <color indexed="64"/>
      </right>
      <top style="dotted">
        <color indexed="8"/>
      </top>
      <bottom/>
      <diagonal/>
    </border>
    <border>
      <left style="thin">
        <color indexed="64"/>
      </left>
      <right/>
      <top style="medium">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bottom style="hair">
        <color indexed="64"/>
      </bottom>
      <diagonal/>
    </border>
    <border>
      <left style="thin">
        <color indexed="64"/>
      </left>
      <right/>
      <top style="hair">
        <color indexed="64"/>
      </top>
      <bottom style="thick">
        <color indexed="64"/>
      </bottom>
      <diagonal/>
    </border>
    <border diagonalUp="1">
      <left style="double">
        <color indexed="64"/>
      </left>
      <right style="thick">
        <color indexed="64"/>
      </right>
      <top style="medium">
        <color indexed="64"/>
      </top>
      <bottom style="hair">
        <color indexed="64"/>
      </bottom>
      <diagonal style="thin">
        <color indexed="64"/>
      </diagonal>
    </border>
    <border diagonalUp="1">
      <left style="double">
        <color indexed="64"/>
      </left>
      <right style="thick">
        <color indexed="64"/>
      </right>
      <top style="hair">
        <color indexed="64"/>
      </top>
      <bottom style="thin">
        <color indexed="64"/>
      </bottom>
      <diagonal style="thin">
        <color indexed="64"/>
      </diagonal>
    </border>
    <border>
      <left style="double">
        <color indexed="64"/>
      </left>
      <right style="thick">
        <color indexed="64"/>
      </right>
      <top style="thin">
        <color indexed="64"/>
      </top>
      <bottom style="hair">
        <color indexed="64"/>
      </bottom>
      <diagonal/>
    </border>
    <border>
      <left style="double">
        <color indexed="64"/>
      </left>
      <right style="thick">
        <color indexed="64"/>
      </right>
      <top style="hair">
        <color indexed="64"/>
      </top>
      <bottom style="thin">
        <color indexed="64"/>
      </bottom>
      <diagonal/>
    </border>
    <border diagonalUp="1">
      <left style="double">
        <color indexed="64"/>
      </left>
      <right style="thick">
        <color indexed="64"/>
      </right>
      <top style="thin">
        <color indexed="64"/>
      </top>
      <bottom style="hair">
        <color indexed="64"/>
      </bottom>
      <diagonal style="thin">
        <color indexed="64"/>
      </diagonal>
    </border>
    <border>
      <left style="double">
        <color indexed="64"/>
      </left>
      <right style="thick">
        <color indexed="64"/>
      </right>
      <top style="hair">
        <color indexed="64"/>
      </top>
      <bottom style="thick">
        <color indexed="64"/>
      </bottom>
      <diagonal/>
    </border>
    <border>
      <left style="double">
        <color indexed="64"/>
      </left>
      <right style="thick">
        <color indexed="64"/>
      </right>
      <top style="medium">
        <color indexed="64"/>
      </top>
      <bottom style="hair">
        <color indexed="64"/>
      </bottom>
      <diagonal/>
    </border>
    <border>
      <left style="double">
        <color indexed="64"/>
      </left>
      <right style="thick">
        <color indexed="64"/>
      </right>
      <top style="hair">
        <color indexed="64"/>
      </top>
      <bottom style="hair">
        <color indexed="64"/>
      </bottom>
      <diagonal/>
    </border>
    <border>
      <left style="double">
        <color indexed="64"/>
      </left>
      <right style="thick">
        <color indexed="64"/>
      </right>
      <top/>
      <bottom style="hair">
        <color indexed="64"/>
      </bottom>
      <diagonal/>
    </border>
    <border>
      <left style="double">
        <color indexed="64"/>
      </left>
      <right style="thick">
        <color indexed="64"/>
      </right>
      <top style="hair">
        <color indexed="64"/>
      </top>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8"/>
      </left>
      <right style="thin">
        <color indexed="64"/>
      </right>
      <top/>
      <bottom/>
      <diagonal/>
    </border>
    <border>
      <left style="thick">
        <color indexed="8"/>
      </left>
      <right/>
      <top style="medium">
        <color indexed="64"/>
      </top>
      <bottom/>
      <diagonal/>
    </border>
    <border>
      <left style="thick">
        <color indexed="8"/>
      </left>
      <right/>
      <top style="thin">
        <color indexed="8"/>
      </top>
      <bottom style="thin">
        <color indexed="8"/>
      </bottom>
      <diagonal/>
    </border>
    <border>
      <left/>
      <right style="thin">
        <color indexed="8"/>
      </right>
      <top style="thin">
        <color indexed="8"/>
      </top>
      <bottom style="thin">
        <color indexed="8"/>
      </bottom>
      <diagonal/>
    </border>
    <border>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n">
        <color indexed="64"/>
      </left>
      <right/>
      <top style="thin">
        <color indexed="8"/>
      </top>
      <bottom style="medium">
        <color indexed="64"/>
      </bottom>
      <diagonal/>
    </border>
    <border>
      <left style="thin">
        <color indexed="8"/>
      </left>
      <right style="thin">
        <color indexed="8"/>
      </right>
      <top style="thin">
        <color indexed="8"/>
      </top>
      <bottom style="medium">
        <color indexed="64"/>
      </bottom>
      <diagonal/>
    </border>
    <border>
      <left style="hair">
        <color indexed="64"/>
      </left>
      <right style="hair">
        <color indexed="64"/>
      </right>
      <top/>
      <bottom style="thick">
        <color indexed="64"/>
      </bottom>
      <diagonal/>
    </border>
    <border>
      <left style="thick">
        <color indexed="64"/>
      </left>
      <right style="thin">
        <color indexed="64"/>
      </right>
      <top style="thick">
        <color indexed="64"/>
      </top>
      <bottom style="medium">
        <color indexed="64"/>
      </bottom>
      <diagonal/>
    </border>
    <border>
      <left style="thin">
        <color indexed="64"/>
      </left>
      <right style="thin">
        <color indexed="64"/>
      </right>
      <top style="thick">
        <color indexed="64"/>
      </top>
      <bottom style="medium">
        <color indexed="64"/>
      </bottom>
      <diagonal/>
    </border>
    <border>
      <left style="thin">
        <color indexed="64"/>
      </left>
      <right style="thick">
        <color indexed="64"/>
      </right>
      <top style="thick">
        <color indexed="64"/>
      </top>
      <bottom style="medium">
        <color indexed="64"/>
      </bottom>
      <diagonal/>
    </border>
    <border>
      <left style="thin">
        <color indexed="64"/>
      </left>
      <right style="thick">
        <color indexed="64"/>
      </right>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n">
        <color indexed="8"/>
      </left>
      <right/>
      <top style="hair">
        <color indexed="8"/>
      </top>
      <bottom/>
      <diagonal/>
    </border>
    <border>
      <left/>
      <right/>
      <top style="medium">
        <color indexed="8"/>
      </top>
      <bottom/>
      <diagonal/>
    </border>
    <border>
      <left/>
      <right style="medium">
        <color indexed="8"/>
      </right>
      <top style="medium">
        <color indexed="8"/>
      </top>
      <bottom/>
      <diagonal/>
    </border>
    <border>
      <left/>
      <right style="medium">
        <color indexed="8"/>
      </right>
      <top/>
      <bottom/>
      <diagonal/>
    </border>
    <border>
      <left/>
      <right style="medium">
        <color indexed="8"/>
      </right>
      <top style="thin">
        <color indexed="8"/>
      </top>
      <bottom/>
      <diagonal/>
    </border>
    <border>
      <left style="thin">
        <color indexed="8"/>
      </left>
      <right style="thin">
        <color indexed="8"/>
      </right>
      <top/>
      <bottom/>
      <diagonal/>
    </border>
    <border>
      <left/>
      <right style="medium">
        <color indexed="64"/>
      </right>
      <top/>
      <bottom/>
      <diagonal/>
    </border>
    <border>
      <left style="thin">
        <color indexed="8"/>
      </left>
      <right style="thin">
        <color indexed="64"/>
      </right>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style="thin">
        <color indexed="64"/>
      </left>
      <right/>
      <top/>
      <bottom style="thin">
        <color indexed="64"/>
      </bottom>
      <diagonal/>
    </border>
    <border>
      <left/>
      <right/>
      <top style="medium">
        <color indexed="64"/>
      </top>
      <bottom style="thin">
        <color indexed="8"/>
      </bottom>
      <diagonal/>
    </border>
    <border>
      <left style="thin">
        <color indexed="8"/>
      </left>
      <right style="thin">
        <color indexed="8"/>
      </right>
      <top style="medium">
        <color indexed="64"/>
      </top>
      <bottom/>
      <diagonal/>
    </border>
    <border>
      <left style="thin">
        <color indexed="8"/>
      </left>
      <right style="thin">
        <color indexed="8"/>
      </right>
      <top style="thin">
        <color indexed="64"/>
      </top>
      <bottom/>
      <diagonal/>
    </border>
    <border>
      <left/>
      <right/>
      <top style="thin">
        <color indexed="64"/>
      </top>
      <bottom style="thick">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top style="thick">
        <color indexed="64"/>
      </top>
      <bottom style="thin">
        <color indexed="64"/>
      </bottom>
      <diagonal/>
    </border>
    <border>
      <left style="thin">
        <color indexed="64"/>
      </left>
      <right/>
      <top style="thin">
        <color indexed="64"/>
      </top>
      <bottom style="thick">
        <color indexed="64"/>
      </bottom>
      <diagonal/>
    </border>
    <border>
      <left/>
      <right style="thin">
        <color indexed="8"/>
      </right>
      <top style="thin">
        <color indexed="64"/>
      </top>
      <bottom/>
      <diagonal/>
    </border>
    <border>
      <left/>
      <right style="medium">
        <color indexed="64"/>
      </right>
      <top style="medium">
        <color indexed="64"/>
      </top>
      <bottom style="thin">
        <color indexed="8"/>
      </bottom>
      <diagonal/>
    </border>
    <border>
      <left style="medium">
        <color indexed="64"/>
      </left>
      <right style="thin">
        <color indexed="64"/>
      </right>
      <top style="thin">
        <color indexed="64"/>
      </top>
      <bottom/>
      <diagonal/>
    </border>
    <border>
      <left/>
      <right style="thin">
        <color indexed="8"/>
      </right>
      <top style="thin">
        <color indexed="8"/>
      </top>
      <bottom style="thin">
        <color indexed="64"/>
      </bottom>
      <diagonal/>
    </border>
    <border>
      <left style="thin">
        <color indexed="8"/>
      </left>
      <right style="thin">
        <color indexed="8"/>
      </right>
      <top style="thin">
        <color indexed="8"/>
      </top>
      <bottom style="hair">
        <color indexed="8"/>
      </bottom>
      <diagonal/>
    </border>
    <border>
      <left/>
      <right style="medium">
        <color indexed="64"/>
      </right>
      <top style="thin">
        <color indexed="8"/>
      </top>
      <bottom style="hair">
        <color indexed="8"/>
      </bottom>
      <diagonal/>
    </border>
    <border>
      <left style="medium">
        <color indexed="64"/>
      </left>
      <right style="thin">
        <color indexed="8"/>
      </right>
      <top/>
      <bottom style="medium">
        <color indexed="64"/>
      </bottom>
      <diagonal/>
    </border>
    <border>
      <left/>
      <right style="thin">
        <color indexed="64"/>
      </right>
      <top style="thin">
        <color indexed="8"/>
      </top>
      <bottom style="thin">
        <color indexed="8"/>
      </bottom>
      <diagonal/>
    </border>
    <border diagonalUp="1">
      <left style="thin">
        <color indexed="8"/>
      </left>
      <right style="thin">
        <color indexed="8"/>
      </right>
      <top style="thin">
        <color indexed="8"/>
      </top>
      <bottom style="thin">
        <color indexed="8"/>
      </bottom>
      <diagonal style="thin">
        <color indexed="8"/>
      </diagonal>
    </border>
    <border>
      <left style="dotted">
        <color indexed="8"/>
      </left>
      <right/>
      <top style="dotted">
        <color indexed="8"/>
      </top>
      <bottom style="thick">
        <color indexed="8"/>
      </bottom>
      <diagonal/>
    </border>
    <border>
      <left style="thin">
        <color indexed="8"/>
      </left>
      <right style="thin">
        <color indexed="64"/>
      </right>
      <top style="thin">
        <color indexed="8"/>
      </top>
      <bottom style="thin">
        <color indexed="64"/>
      </bottom>
      <diagonal/>
    </border>
    <border>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style="thin">
        <color indexed="64"/>
      </left>
      <right/>
      <top style="dashed">
        <color indexed="64"/>
      </top>
      <bottom style="medium">
        <color indexed="64"/>
      </bottom>
      <diagonal/>
    </border>
    <border>
      <left/>
      <right style="thin">
        <color indexed="64"/>
      </right>
      <top style="dashed">
        <color indexed="64"/>
      </top>
      <bottom style="medium">
        <color indexed="64"/>
      </bottom>
      <diagonal/>
    </border>
    <border>
      <left style="thick">
        <color indexed="8"/>
      </left>
      <right/>
      <top style="thick">
        <color indexed="8"/>
      </top>
      <bottom style="thick">
        <color indexed="8"/>
      </bottom>
      <diagonal/>
    </border>
    <border>
      <left/>
      <right/>
      <top style="thick">
        <color indexed="8"/>
      </top>
      <bottom style="thick">
        <color indexed="8"/>
      </bottom>
      <diagonal/>
    </border>
    <border>
      <left/>
      <right style="thick">
        <color indexed="8"/>
      </right>
      <top style="thick">
        <color indexed="8"/>
      </top>
      <bottom style="thick">
        <color indexed="8"/>
      </bottom>
      <diagonal/>
    </border>
    <border>
      <left style="thin">
        <color indexed="8"/>
      </left>
      <right/>
      <top style="thick">
        <color indexed="8"/>
      </top>
      <bottom style="thick">
        <color indexed="8"/>
      </bottom>
      <diagonal/>
    </border>
    <border>
      <left/>
      <right style="thick">
        <color indexed="8"/>
      </right>
      <top style="thick">
        <color indexed="8"/>
      </top>
      <bottom/>
      <diagonal/>
    </border>
    <border>
      <left style="thin">
        <color indexed="8"/>
      </left>
      <right style="thin">
        <color indexed="8"/>
      </right>
      <top style="dotted">
        <color indexed="8"/>
      </top>
      <bottom/>
      <diagonal/>
    </border>
    <border>
      <left style="thick">
        <color indexed="8"/>
      </left>
      <right style="thick">
        <color indexed="8"/>
      </right>
      <top/>
      <bottom/>
      <diagonal/>
    </border>
    <border>
      <left style="thin">
        <color indexed="8"/>
      </left>
      <right style="thin">
        <color indexed="8"/>
      </right>
      <top/>
      <bottom style="dotted">
        <color indexed="8"/>
      </bottom>
      <diagonal/>
    </border>
    <border>
      <left style="thin">
        <color indexed="8"/>
      </left>
      <right/>
      <top style="dotted">
        <color indexed="8"/>
      </top>
      <bottom style="thin">
        <color indexed="64"/>
      </bottom>
      <diagonal/>
    </border>
    <border>
      <left style="thick">
        <color indexed="8"/>
      </left>
      <right style="thick">
        <color indexed="8"/>
      </right>
      <top style="dotted">
        <color indexed="8"/>
      </top>
      <bottom style="thin">
        <color indexed="64"/>
      </bottom>
      <diagonal/>
    </border>
    <border>
      <left style="thick">
        <color indexed="64"/>
      </left>
      <right/>
      <top style="dashed">
        <color indexed="64"/>
      </top>
      <bottom/>
      <diagonal/>
    </border>
    <border>
      <left/>
      <right style="thin">
        <color indexed="64"/>
      </right>
      <top style="dashed">
        <color indexed="64"/>
      </top>
      <bottom style="dashed">
        <color indexed="64"/>
      </bottom>
      <diagonal/>
    </border>
    <border>
      <left/>
      <right style="thin">
        <color indexed="64"/>
      </right>
      <top style="dashed">
        <color indexed="64"/>
      </top>
      <bottom/>
      <diagonal/>
    </border>
    <border>
      <left style="thick">
        <color indexed="64"/>
      </left>
      <right/>
      <top style="dashed">
        <color indexed="64"/>
      </top>
      <bottom style="dashed">
        <color indexed="64"/>
      </bottom>
      <diagonal/>
    </border>
    <border>
      <left style="thick">
        <color indexed="64"/>
      </left>
      <right/>
      <top style="thick">
        <color indexed="64"/>
      </top>
      <bottom style="dashed">
        <color indexed="64"/>
      </bottom>
      <diagonal/>
    </border>
    <border>
      <left/>
      <right style="thin">
        <color indexed="64"/>
      </right>
      <top style="thick">
        <color indexed="64"/>
      </top>
      <bottom style="dashed">
        <color indexed="64"/>
      </bottom>
      <diagonal/>
    </border>
    <border>
      <left/>
      <right style="thin">
        <color indexed="64"/>
      </right>
      <top/>
      <bottom style="thick">
        <color indexed="64"/>
      </bottom>
      <diagonal/>
    </border>
    <border>
      <left style="thin">
        <color indexed="64"/>
      </left>
      <right style="thick">
        <color indexed="64"/>
      </right>
      <top style="dashed">
        <color indexed="64"/>
      </top>
      <bottom/>
      <diagonal/>
    </border>
    <border>
      <left style="thin">
        <color indexed="8"/>
      </left>
      <right style="thin">
        <color indexed="8"/>
      </right>
      <top style="hair">
        <color indexed="8"/>
      </top>
      <bottom style="hair">
        <color indexed="8"/>
      </bottom>
      <diagonal/>
    </border>
    <border>
      <left style="hair">
        <color indexed="8"/>
      </left>
      <right style="thin">
        <color indexed="8"/>
      </right>
      <top style="thin">
        <color indexed="8"/>
      </top>
      <bottom style="thin">
        <color indexed="8"/>
      </bottom>
      <diagonal/>
    </border>
    <border>
      <left style="hair">
        <color indexed="8"/>
      </left>
      <right style="hair">
        <color indexed="8"/>
      </right>
      <top style="thin">
        <color indexed="8"/>
      </top>
      <bottom style="hair">
        <color indexed="8"/>
      </bottom>
      <diagonal/>
    </border>
    <border>
      <left style="hair">
        <color indexed="8"/>
      </left>
      <right style="thin">
        <color indexed="8"/>
      </right>
      <top style="thin">
        <color indexed="8"/>
      </top>
      <bottom style="hair">
        <color indexed="8"/>
      </bottom>
      <diagonal/>
    </border>
    <border>
      <left style="thin">
        <color indexed="14"/>
      </left>
      <right style="hair">
        <color indexed="14"/>
      </right>
      <top/>
      <bottom style="hair">
        <color indexed="14"/>
      </bottom>
      <diagonal/>
    </border>
    <border>
      <left style="hair">
        <color indexed="14"/>
      </left>
      <right style="hair">
        <color indexed="14"/>
      </right>
      <top/>
      <bottom style="hair">
        <color indexed="14"/>
      </bottom>
      <diagonal/>
    </border>
    <border>
      <left style="hair">
        <color indexed="14"/>
      </left>
      <right/>
      <top/>
      <bottom style="hair">
        <color indexed="14"/>
      </bottom>
      <diagonal/>
    </border>
    <border>
      <left style="hair">
        <color indexed="14"/>
      </left>
      <right style="thin">
        <color indexed="14"/>
      </right>
      <top/>
      <bottom style="hair">
        <color indexed="14"/>
      </bottom>
      <diagonal/>
    </border>
    <border>
      <left/>
      <right style="hair">
        <color indexed="14"/>
      </right>
      <top/>
      <bottom style="hair">
        <color indexed="14"/>
      </bottom>
      <diagonal/>
    </border>
    <border>
      <left style="hair">
        <color indexed="8"/>
      </left>
      <right style="hair">
        <color indexed="8"/>
      </right>
      <top style="hair">
        <color indexed="8"/>
      </top>
      <bottom style="hair">
        <color indexed="8"/>
      </bottom>
      <diagonal/>
    </border>
    <border>
      <left style="hair">
        <color indexed="8"/>
      </left>
      <right style="thin">
        <color indexed="8"/>
      </right>
      <top style="hair">
        <color indexed="8"/>
      </top>
      <bottom style="hair">
        <color indexed="8"/>
      </bottom>
      <diagonal/>
    </border>
    <border>
      <left style="thin">
        <color indexed="14"/>
      </left>
      <right style="hair">
        <color indexed="14"/>
      </right>
      <top style="hair">
        <color indexed="14"/>
      </top>
      <bottom style="hair">
        <color indexed="14"/>
      </bottom>
      <diagonal/>
    </border>
    <border>
      <left style="hair">
        <color indexed="14"/>
      </left>
      <right style="hair">
        <color indexed="14"/>
      </right>
      <top style="hair">
        <color indexed="14"/>
      </top>
      <bottom style="hair">
        <color indexed="14"/>
      </bottom>
      <diagonal/>
    </border>
    <border>
      <left style="hair">
        <color indexed="14"/>
      </left>
      <right/>
      <top style="hair">
        <color indexed="14"/>
      </top>
      <bottom style="hair">
        <color indexed="14"/>
      </bottom>
      <diagonal/>
    </border>
    <border>
      <left style="hair">
        <color indexed="14"/>
      </left>
      <right style="thin">
        <color indexed="14"/>
      </right>
      <top style="hair">
        <color indexed="14"/>
      </top>
      <bottom style="hair">
        <color indexed="14"/>
      </bottom>
      <diagonal/>
    </border>
    <border>
      <left/>
      <right style="hair">
        <color indexed="14"/>
      </right>
      <top style="hair">
        <color indexed="14"/>
      </top>
      <bottom style="hair">
        <color indexed="14"/>
      </bottom>
      <diagonal/>
    </border>
    <border>
      <left style="thin">
        <color indexed="14"/>
      </left>
      <right style="hair">
        <color indexed="14"/>
      </right>
      <top style="hair">
        <color indexed="14"/>
      </top>
      <bottom/>
      <diagonal/>
    </border>
    <border>
      <left style="hair">
        <color indexed="14"/>
      </left>
      <right style="hair">
        <color indexed="14"/>
      </right>
      <top style="hair">
        <color indexed="14"/>
      </top>
      <bottom style="thin">
        <color indexed="14"/>
      </bottom>
      <diagonal/>
    </border>
    <border>
      <left style="hair">
        <color indexed="14"/>
      </left>
      <right/>
      <top style="hair">
        <color indexed="14"/>
      </top>
      <bottom style="thin">
        <color indexed="14"/>
      </bottom>
      <diagonal/>
    </border>
    <border>
      <left style="thin">
        <color indexed="14"/>
      </left>
      <right style="hair">
        <color indexed="14"/>
      </right>
      <top style="hair">
        <color indexed="14"/>
      </top>
      <bottom style="thin">
        <color indexed="14"/>
      </bottom>
      <diagonal/>
    </border>
    <border>
      <left style="hair">
        <color indexed="14"/>
      </left>
      <right style="thin">
        <color indexed="14"/>
      </right>
      <top style="hair">
        <color indexed="14"/>
      </top>
      <bottom style="thin">
        <color indexed="14"/>
      </bottom>
      <diagonal/>
    </border>
    <border>
      <left/>
      <right style="hair">
        <color indexed="14"/>
      </right>
      <top style="hair">
        <color indexed="14"/>
      </top>
      <bottom style="thin">
        <color indexed="14"/>
      </bottom>
      <diagonal/>
    </border>
    <border>
      <left style="thin">
        <color indexed="64"/>
      </left>
      <right style="thin">
        <color indexed="8"/>
      </right>
      <top style="hair">
        <color indexed="64"/>
      </top>
      <bottom style="hair">
        <color indexed="64"/>
      </bottom>
      <diagonal/>
    </border>
    <border>
      <left style="thin">
        <color indexed="8"/>
      </left>
      <right style="hair">
        <color indexed="8"/>
      </right>
      <top/>
      <bottom style="hair">
        <color indexed="8"/>
      </bottom>
      <diagonal/>
    </border>
    <border>
      <left style="thin">
        <color indexed="8"/>
      </left>
      <right style="hair">
        <color indexed="8"/>
      </right>
      <top style="hair">
        <color indexed="8"/>
      </top>
      <bottom style="hair">
        <color indexed="8"/>
      </bottom>
      <diagonal/>
    </border>
    <border>
      <left/>
      <right style="thin">
        <color indexed="8"/>
      </right>
      <top style="hair">
        <color indexed="8"/>
      </top>
      <bottom style="hair">
        <color indexed="8"/>
      </bottom>
      <diagonal/>
    </border>
    <border>
      <left/>
      <right style="thin">
        <color indexed="8"/>
      </right>
      <top style="hair">
        <color indexed="8"/>
      </top>
      <bottom/>
      <diagonal/>
    </border>
    <border>
      <left style="thin">
        <color indexed="8"/>
      </left>
      <right style="hair">
        <color indexed="8"/>
      </right>
      <top style="hair">
        <color indexed="8"/>
      </top>
      <bottom style="thin">
        <color indexed="8"/>
      </bottom>
      <diagonal/>
    </border>
    <border>
      <left style="thin">
        <color indexed="8"/>
      </left>
      <right style="thin">
        <color indexed="8"/>
      </right>
      <top/>
      <bottom style="thin">
        <color indexed="8"/>
      </bottom>
      <diagonal/>
    </border>
    <border>
      <left style="thin">
        <color indexed="8"/>
      </left>
      <right/>
      <top style="thin">
        <color indexed="8"/>
      </top>
      <bottom style="hair">
        <color indexed="64"/>
      </bottom>
      <diagonal/>
    </border>
    <border>
      <left style="thin">
        <color indexed="8"/>
      </left>
      <right/>
      <top style="hair">
        <color indexed="64"/>
      </top>
      <bottom style="hair">
        <color indexed="64"/>
      </bottom>
      <diagonal/>
    </border>
    <border>
      <left style="thin">
        <color indexed="8"/>
      </left>
      <right/>
      <top style="hair">
        <color indexed="64"/>
      </top>
      <bottom/>
      <diagonal/>
    </border>
    <border>
      <left style="medium">
        <color indexed="10"/>
      </left>
      <right style="medium">
        <color indexed="10"/>
      </right>
      <top style="medium">
        <color indexed="10"/>
      </top>
      <bottom/>
      <diagonal/>
    </border>
    <border>
      <left style="medium">
        <color indexed="10"/>
      </left>
      <right style="medium">
        <color indexed="10"/>
      </right>
      <top/>
      <bottom/>
      <diagonal/>
    </border>
    <border>
      <left style="thin">
        <color indexed="14"/>
      </left>
      <right/>
      <top style="thin">
        <color indexed="14"/>
      </top>
      <bottom style="thin">
        <color indexed="14"/>
      </bottom>
      <diagonal/>
    </border>
    <border>
      <left/>
      <right/>
      <top style="thin">
        <color indexed="14"/>
      </top>
      <bottom style="thin">
        <color indexed="14"/>
      </bottom>
      <diagonal/>
    </border>
    <border>
      <left/>
      <right style="thin">
        <color indexed="14"/>
      </right>
      <top style="thin">
        <color indexed="14"/>
      </top>
      <bottom style="thin">
        <color indexed="14"/>
      </bottom>
      <diagonal/>
    </border>
    <border>
      <left style="thin">
        <color indexed="14"/>
      </left>
      <right/>
      <top style="thin">
        <color indexed="14"/>
      </top>
      <bottom style="hair">
        <color indexed="14"/>
      </bottom>
      <diagonal/>
    </border>
    <border>
      <left/>
      <right/>
      <top style="thin">
        <color indexed="14"/>
      </top>
      <bottom style="hair">
        <color indexed="14"/>
      </bottom>
      <diagonal/>
    </border>
    <border>
      <left/>
      <right style="thin">
        <color indexed="14"/>
      </right>
      <top style="thin">
        <color indexed="14"/>
      </top>
      <bottom style="hair">
        <color indexed="14"/>
      </bottom>
      <diagonal/>
    </border>
    <border>
      <left style="hair">
        <color indexed="64"/>
      </left>
      <right style="hair">
        <color indexed="64"/>
      </right>
      <top/>
      <bottom style="thin">
        <color indexed="64"/>
      </bottom>
      <diagonal/>
    </border>
    <border>
      <left style="hair">
        <color indexed="8"/>
      </left>
      <right/>
      <top style="hair">
        <color indexed="8"/>
      </top>
      <bottom style="hair">
        <color indexed="8"/>
      </bottom>
      <diagonal/>
    </border>
    <border>
      <left style="thin">
        <color indexed="14"/>
      </left>
      <right/>
      <top style="hair">
        <color indexed="14"/>
      </top>
      <bottom style="hair">
        <color indexed="14"/>
      </bottom>
      <diagonal/>
    </border>
    <border>
      <left/>
      <right/>
      <top style="hair">
        <color indexed="14"/>
      </top>
      <bottom style="hair">
        <color indexed="14"/>
      </bottom>
      <diagonal/>
    </border>
    <border>
      <left/>
      <right style="thin">
        <color indexed="14"/>
      </right>
      <top style="hair">
        <color indexed="14"/>
      </top>
      <bottom style="hair">
        <color indexed="14"/>
      </bottom>
      <diagonal/>
    </border>
    <border>
      <left/>
      <right/>
      <top style="thin">
        <color indexed="14"/>
      </top>
      <bottom/>
      <diagonal/>
    </border>
    <border>
      <left style="medium">
        <color indexed="10"/>
      </left>
      <right style="medium">
        <color indexed="10"/>
      </right>
      <top/>
      <bottom style="medium">
        <color indexed="10"/>
      </bottom>
      <diagonal/>
    </border>
    <border>
      <left style="thin">
        <color indexed="14"/>
      </left>
      <right/>
      <top/>
      <bottom style="hair">
        <color indexed="14"/>
      </bottom>
      <diagonal/>
    </border>
    <border>
      <left/>
      <right/>
      <top/>
      <bottom style="hair">
        <color indexed="14"/>
      </bottom>
      <diagonal/>
    </border>
    <border>
      <left/>
      <right style="thin">
        <color indexed="14"/>
      </right>
      <top/>
      <bottom style="hair">
        <color indexed="1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8"/>
      </left>
      <right style="thin">
        <color indexed="64"/>
      </right>
      <top style="thin">
        <color indexed="64"/>
      </top>
      <bottom style="hair">
        <color indexed="8"/>
      </bottom>
      <diagonal/>
    </border>
    <border>
      <left style="hair">
        <color indexed="8"/>
      </left>
      <right style="thin">
        <color indexed="64"/>
      </right>
      <top style="hair">
        <color indexed="8"/>
      </top>
      <bottom style="hair">
        <color indexed="8"/>
      </bottom>
      <diagonal/>
    </border>
    <border>
      <left style="hair">
        <color indexed="8"/>
      </left>
      <right style="thin">
        <color indexed="64"/>
      </right>
      <top style="hair">
        <color indexed="8"/>
      </top>
      <bottom style="thin">
        <color indexed="64"/>
      </bottom>
      <diagonal/>
    </border>
    <border>
      <left style="double">
        <color indexed="39"/>
      </left>
      <right/>
      <top style="double">
        <color indexed="39"/>
      </top>
      <bottom/>
      <diagonal/>
    </border>
    <border>
      <left/>
      <right/>
      <top style="double">
        <color indexed="39"/>
      </top>
      <bottom/>
      <diagonal/>
    </border>
    <border>
      <left/>
      <right style="double">
        <color indexed="39"/>
      </right>
      <top style="double">
        <color indexed="39"/>
      </top>
      <bottom/>
      <diagonal/>
    </border>
    <border>
      <left style="double">
        <color indexed="39"/>
      </left>
      <right/>
      <top/>
      <bottom/>
      <diagonal/>
    </border>
    <border>
      <left/>
      <right style="double">
        <color indexed="39"/>
      </right>
      <top/>
      <bottom/>
      <diagonal/>
    </border>
    <border>
      <left style="double">
        <color indexed="39"/>
      </left>
      <right/>
      <top/>
      <bottom style="double">
        <color indexed="39"/>
      </bottom>
      <diagonal/>
    </border>
    <border>
      <left/>
      <right/>
      <top/>
      <bottom style="double">
        <color indexed="39"/>
      </bottom>
      <diagonal/>
    </border>
    <border>
      <left/>
      <right style="double">
        <color indexed="39"/>
      </right>
      <top/>
      <bottom style="double">
        <color indexed="39"/>
      </bottom>
      <diagonal/>
    </border>
    <border>
      <left style="dashed">
        <color indexed="64"/>
      </left>
      <right style="dashed">
        <color indexed="64"/>
      </right>
      <top style="dashed">
        <color indexed="64"/>
      </top>
      <bottom style="dashed">
        <color indexed="64"/>
      </bottom>
      <diagonal/>
    </border>
    <border>
      <left style="thin">
        <color indexed="8"/>
      </left>
      <right style="hair">
        <color indexed="8"/>
      </right>
      <top style="thin">
        <color indexed="8"/>
      </top>
      <bottom style="thin">
        <color indexed="8"/>
      </bottom>
      <diagonal/>
    </border>
    <border>
      <left style="thin">
        <color indexed="64"/>
      </left>
      <right style="hair">
        <color indexed="8"/>
      </right>
      <top style="thin">
        <color indexed="64"/>
      </top>
      <bottom style="hair">
        <color indexed="8"/>
      </bottom>
      <diagonal/>
    </border>
    <border>
      <left style="hair">
        <color indexed="8"/>
      </left>
      <right style="hair">
        <color indexed="8"/>
      </right>
      <top style="thin">
        <color indexed="64"/>
      </top>
      <bottom style="hair">
        <color indexed="8"/>
      </bottom>
      <diagonal/>
    </border>
    <border>
      <left style="thin">
        <color indexed="64"/>
      </left>
      <right style="hair">
        <color indexed="8"/>
      </right>
      <top style="hair">
        <color indexed="8"/>
      </top>
      <bottom style="hair">
        <color indexed="8"/>
      </bottom>
      <diagonal/>
    </border>
    <border>
      <left style="thin">
        <color indexed="64"/>
      </left>
      <right style="hair">
        <color indexed="8"/>
      </right>
      <top style="hair">
        <color indexed="8"/>
      </top>
      <bottom style="thin">
        <color indexed="64"/>
      </bottom>
      <diagonal/>
    </border>
    <border>
      <left style="hair">
        <color indexed="8"/>
      </left>
      <right style="hair">
        <color indexed="8"/>
      </right>
      <top style="hair">
        <color indexed="8"/>
      </top>
      <bottom style="thin">
        <color indexed="64"/>
      </bottom>
      <diagonal/>
    </border>
    <border>
      <left style="thin">
        <color indexed="8"/>
      </left>
      <right style="hair">
        <color indexed="8"/>
      </right>
      <top style="thin">
        <color indexed="8"/>
      </top>
      <bottom style="hair">
        <color indexed="8"/>
      </bottom>
      <diagonal/>
    </border>
    <border>
      <left style="thin">
        <color indexed="8"/>
      </left>
      <right/>
      <top/>
      <bottom style="thin">
        <color indexed="64"/>
      </bottom>
      <diagonal/>
    </border>
    <border>
      <left style="dashed">
        <color indexed="8"/>
      </left>
      <right style="dashed">
        <color indexed="8"/>
      </right>
      <top style="dashed">
        <color indexed="8"/>
      </top>
      <bottom style="dashed">
        <color indexed="8"/>
      </bottom>
      <diagonal/>
    </border>
    <border>
      <left style="thin">
        <color indexed="14"/>
      </left>
      <right style="thin">
        <color indexed="14"/>
      </right>
      <top/>
      <bottom style="thin">
        <color indexed="14"/>
      </bottom>
      <diagonal/>
    </border>
    <border>
      <left style="thin">
        <color indexed="8"/>
      </left>
      <right style="thin">
        <color indexed="8"/>
      </right>
      <top style="thin">
        <color indexed="64"/>
      </top>
      <bottom style="thin">
        <color indexed="64"/>
      </bottom>
      <diagonal/>
    </border>
    <border>
      <left style="thin">
        <color indexed="14"/>
      </left>
      <right style="thin">
        <color indexed="14"/>
      </right>
      <top style="thin">
        <color indexed="14"/>
      </top>
      <bottom style="thin">
        <color indexed="14"/>
      </bottom>
      <diagonal/>
    </border>
    <border>
      <left style="thin">
        <color indexed="8"/>
      </left>
      <right style="thin">
        <color indexed="8"/>
      </right>
      <top style="thin">
        <color indexed="8"/>
      </top>
      <bottom/>
      <diagonal/>
    </border>
    <border>
      <left style="thick">
        <color indexed="8"/>
      </left>
      <right style="thick">
        <color indexed="8"/>
      </right>
      <top style="thin">
        <color indexed="64"/>
      </top>
      <bottom style="dotted">
        <color indexed="8"/>
      </bottom>
      <diagonal/>
    </border>
    <border>
      <left style="thick">
        <color indexed="8"/>
      </left>
      <right style="thick">
        <color indexed="8"/>
      </right>
      <top style="dotted">
        <color indexed="8"/>
      </top>
      <bottom style="thick">
        <color indexed="8"/>
      </bottom>
      <diagonal/>
    </border>
    <border>
      <left style="thick">
        <color indexed="8"/>
      </left>
      <right style="thick">
        <color indexed="8"/>
      </right>
      <top/>
      <bottom style="dotted">
        <color indexed="8"/>
      </bottom>
      <diagonal/>
    </border>
    <border>
      <left/>
      <right style="thin">
        <color indexed="8"/>
      </right>
      <top style="thin">
        <color indexed="8"/>
      </top>
      <bottom style="medium">
        <color indexed="64"/>
      </bottom>
      <diagonal/>
    </border>
    <border>
      <left style="thin">
        <color indexed="8"/>
      </left>
      <right style="thin">
        <color indexed="64"/>
      </right>
      <top style="thin">
        <color indexed="8"/>
      </top>
      <bottom style="thin">
        <color indexed="8"/>
      </bottom>
      <diagonal/>
    </border>
    <border>
      <left style="thin">
        <color indexed="8"/>
      </left>
      <right style="thin">
        <color indexed="8"/>
      </right>
      <top style="thin">
        <color indexed="8"/>
      </top>
      <bottom style="thin">
        <color indexed="8"/>
      </bottom>
      <diagonal/>
    </border>
    <border>
      <left style="medium">
        <color indexed="64"/>
      </left>
      <right/>
      <top style="medium">
        <color indexed="64"/>
      </top>
      <bottom style="thin">
        <color indexed="8"/>
      </bottom>
      <diagonal/>
    </border>
    <border>
      <left style="thick">
        <color indexed="8"/>
      </left>
      <right style="thick">
        <color indexed="8"/>
      </right>
      <top style="thick">
        <color indexed="8"/>
      </top>
      <bottom style="thick">
        <color indexed="8"/>
      </bottom>
      <diagonal/>
    </border>
    <border>
      <left style="thin">
        <color indexed="8"/>
      </left>
      <right style="thin">
        <color indexed="8"/>
      </right>
      <top/>
      <bottom style="hair">
        <color indexed="8"/>
      </bottom>
      <diagonal/>
    </border>
    <border>
      <left style="thin">
        <color indexed="8"/>
      </left>
      <right style="thin">
        <color indexed="8"/>
      </right>
      <top style="thick">
        <color indexed="8"/>
      </top>
      <bottom style="dotted">
        <color indexed="8"/>
      </bottom>
      <diagonal/>
    </border>
    <border>
      <left style="thick">
        <color indexed="8"/>
      </left>
      <right style="thin">
        <color indexed="8"/>
      </right>
      <top/>
      <bottom style="dotted">
        <color indexed="8"/>
      </bottom>
      <diagonal/>
    </border>
    <border>
      <left style="thin">
        <color indexed="8"/>
      </left>
      <right/>
      <top/>
      <bottom style="dotted">
        <color indexed="8"/>
      </bottom>
      <diagonal/>
    </border>
    <border>
      <left style="thick">
        <color indexed="8"/>
      </left>
      <right style="thin">
        <color indexed="8"/>
      </right>
      <top style="dotted">
        <color indexed="8"/>
      </top>
      <bottom style="dotted">
        <color indexed="8"/>
      </bottom>
      <diagonal/>
    </border>
    <border>
      <left style="thin">
        <color indexed="8"/>
      </left>
      <right/>
      <top style="dotted">
        <color indexed="8"/>
      </top>
      <bottom style="dotted">
        <color indexed="8"/>
      </bottom>
      <diagonal/>
    </border>
    <border>
      <left style="thick">
        <color indexed="8"/>
      </left>
      <right style="thin">
        <color indexed="8"/>
      </right>
      <top style="dotted">
        <color indexed="8"/>
      </top>
      <bottom style="thick">
        <color indexed="8"/>
      </bottom>
      <diagonal/>
    </border>
    <border>
      <left style="thin">
        <color indexed="8"/>
      </left>
      <right/>
      <top style="dotted">
        <color indexed="8"/>
      </top>
      <bottom style="thick">
        <color indexed="8"/>
      </bottom>
      <diagonal/>
    </border>
    <border>
      <left/>
      <right/>
      <top style="thick">
        <color indexed="64"/>
      </top>
      <bottom/>
      <diagonal/>
    </border>
    <border>
      <left style="thick">
        <color indexed="8"/>
      </left>
      <right style="thin">
        <color indexed="8"/>
      </right>
      <top style="dotted">
        <color indexed="8"/>
      </top>
      <bottom style="thin">
        <color indexed="64"/>
      </bottom>
      <diagonal/>
    </border>
    <border>
      <left style="thick">
        <color indexed="8"/>
      </left>
      <right style="thin">
        <color indexed="8"/>
      </right>
      <top/>
      <bottom style="thick">
        <color indexed="8"/>
      </bottom>
      <diagonal/>
    </border>
    <border>
      <left style="thick">
        <color indexed="8"/>
      </left>
      <right style="thin">
        <color indexed="8"/>
      </right>
      <top style="thick">
        <color indexed="8"/>
      </top>
      <bottom style="thin">
        <color indexed="64"/>
      </bottom>
      <diagonal/>
    </border>
    <border>
      <left style="thin">
        <color indexed="8"/>
      </left>
      <right style="thin">
        <color indexed="8"/>
      </right>
      <top style="thick">
        <color indexed="8"/>
      </top>
      <bottom style="thin">
        <color indexed="64"/>
      </bottom>
      <diagonal/>
    </border>
    <border>
      <left style="thin">
        <color indexed="8"/>
      </left>
      <right style="thin">
        <color indexed="8"/>
      </right>
      <top style="dotted">
        <color indexed="8"/>
      </top>
      <bottom style="thin">
        <color indexed="64"/>
      </bottom>
      <diagonal/>
    </border>
    <border>
      <left style="thin">
        <color indexed="8"/>
      </left>
      <right style="thin">
        <color indexed="8"/>
      </right>
      <top/>
      <bottom style="thick">
        <color indexed="8"/>
      </bottom>
      <diagonal/>
    </border>
    <border>
      <left style="thin">
        <color indexed="8"/>
      </left>
      <right/>
      <top style="thick">
        <color indexed="8"/>
      </top>
      <bottom style="thin">
        <color indexed="64"/>
      </bottom>
      <diagonal/>
    </border>
    <border>
      <left style="thin">
        <color indexed="8"/>
      </left>
      <right/>
      <top/>
      <bottom style="thick">
        <color indexed="8"/>
      </bottom>
      <diagonal/>
    </border>
    <border>
      <left style="thin">
        <color indexed="8"/>
      </left>
      <right style="thick">
        <color indexed="8"/>
      </right>
      <top style="thick">
        <color indexed="8"/>
      </top>
      <bottom style="thin">
        <color indexed="64"/>
      </bottom>
      <diagonal/>
    </border>
    <border>
      <left style="thin">
        <color indexed="8"/>
      </left>
      <right style="thick">
        <color indexed="8"/>
      </right>
      <top/>
      <bottom style="dotted">
        <color indexed="8"/>
      </bottom>
      <diagonal/>
    </border>
    <border>
      <left style="thin">
        <color indexed="8"/>
      </left>
      <right style="thick">
        <color indexed="8"/>
      </right>
      <top style="dotted">
        <color indexed="8"/>
      </top>
      <bottom style="dotted">
        <color indexed="8"/>
      </bottom>
      <diagonal/>
    </border>
    <border>
      <left style="thin">
        <color indexed="8"/>
      </left>
      <right style="thick">
        <color indexed="8"/>
      </right>
      <top style="dotted">
        <color indexed="8"/>
      </top>
      <bottom style="thin">
        <color indexed="64"/>
      </bottom>
      <diagonal/>
    </border>
    <border>
      <left style="thin">
        <color indexed="8"/>
      </left>
      <right style="thick">
        <color indexed="8"/>
      </right>
      <top/>
      <bottom style="thick">
        <color indexed="8"/>
      </bottom>
      <diagonal/>
    </border>
    <border>
      <left/>
      <right style="thin">
        <color indexed="8"/>
      </right>
      <top style="thick">
        <color indexed="8"/>
      </top>
      <bottom style="thin">
        <color indexed="64"/>
      </bottom>
      <diagonal/>
    </border>
    <border>
      <left/>
      <right style="thin">
        <color indexed="8"/>
      </right>
      <top/>
      <bottom style="dotted">
        <color indexed="8"/>
      </bottom>
      <diagonal/>
    </border>
    <border>
      <left/>
      <right style="thin">
        <color indexed="8"/>
      </right>
      <top style="dotted">
        <color indexed="8"/>
      </top>
      <bottom style="dotted">
        <color indexed="8"/>
      </bottom>
      <diagonal/>
    </border>
    <border>
      <left/>
      <right style="thin">
        <color indexed="8"/>
      </right>
      <top style="dotted">
        <color indexed="8"/>
      </top>
      <bottom style="thin">
        <color indexed="64"/>
      </bottom>
      <diagonal/>
    </border>
    <border>
      <left/>
      <right style="thin">
        <color indexed="8"/>
      </right>
      <top/>
      <bottom style="thick">
        <color indexed="8"/>
      </bottom>
      <diagonal/>
    </border>
    <border>
      <left style="thin">
        <color indexed="8"/>
      </left>
      <right/>
      <top/>
      <bottom style="thin">
        <color indexed="8"/>
      </bottom>
      <diagonal/>
    </border>
    <border>
      <left style="thin">
        <color indexed="8"/>
      </left>
      <right style="medium">
        <color indexed="64"/>
      </right>
      <top style="thin">
        <color indexed="8"/>
      </top>
      <bottom style="thin">
        <color indexed="8"/>
      </bottom>
      <diagonal/>
    </border>
    <border>
      <left style="hair">
        <color indexed="8"/>
      </left>
      <right style="hair">
        <color indexed="8"/>
      </right>
      <top/>
      <bottom style="hair">
        <color indexed="8"/>
      </bottom>
      <diagonal/>
    </border>
    <border>
      <left/>
      <right style="thin">
        <color indexed="8"/>
      </right>
      <top/>
      <bottom style="hair">
        <color indexed="8"/>
      </bottom>
      <diagonal/>
    </border>
    <border>
      <left/>
      <right style="thin">
        <color indexed="64"/>
      </right>
      <top style="hair">
        <color indexed="8"/>
      </top>
      <bottom style="thin">
        <color indexed="64"/>
      </bottom>
      <diagonal/>
    </border>
    <border>
      <left style="thin">
        <color indexed="64"/>
      </left>
      <right style="thick">
        <color indexed="64"/>
      </right>
      <top style="thick">
        <color indexed="8"/>
      </top>
      <bottom style="dashed">
        <color indexed="64"/>
      </bottom>
      <diagonal/>
    </border>
    <border>
      <left style="thin">
        <color indexed="64"/>
      </left>
      <right style="thick">
        <color indexed="64"/>
      </right>
      <top/>
      <bottom style="thick">
        <color indexed="64"/>
      </bottom>
      <diagonal/>
    </border>
    <border>
      <left style="thin">
        <color indexed="8"/>
      </left>
      <right style="thick">
        <color indexed="8"/>
      </right>
      <top style="thick">
        <color indexed="8"/>
      </top>
      <bottom/>
      <diagonal/>
    </border>
    <border>
      <left style="thin">
        <color indexed="8"/>
      </left>
      <right style="thick">
        <color indexed="8"/>
      </right>
      <top style="dotted">
        <color indexed="8"/>
      </top>
      <bottom/>
      <diagonal/>
    </border>
    <border>
      <left style="thin">
        <color indexed="8"/>
      </left>
      <right style="thick">
        <color indexed="8"/>
      </right>
      <top style="dotted">
        <color indexed="8"/>
      </top>
      <bottom style="thick">
        <color indexed="8"/>
      </bottom>
      <diagonal/>
    </border>
    <border>
      <left style="thin">
        <color indexed="8"/>
      </left>
      <right/>
      <top style="thick">
        <color indexed="8"/>
      </top>
      <bottom style="dotted">
        <color indexed="8"/>
      </bottom>
      <diagonal/>
    </border>
    <border>
      <left style="thick">
        <color indexed="8"/>
      </left>
      <right style="thin">
        <color indexed="8"/>
      </right>
      <top style="thick">
        <color indexed="8"/>
      </top>
      <bottom style="dotted">
        <color indexed="8"/>
      </bottom>
      <diagonal/>
    </border>
    <border>
      <left style="thin">
        <color indexed="8"/>
      </left>
      <right style="thick">
        <color indexed="8"/>
      </right>
      <top style="thick">
        <color indexed="8"/>
      </top>
      <bottom style="dotted">
        <color indexed="8"/>
      </bottom>
      <diagonal/>
    </border>
    <border>
      <left/>
      <right style="thin">
        <color indexed="8"/>
      </right>
      <top style="thick">
        <color indexed="8"/>
      </top>
      <bottom style="dotted">
        <color indexed="8"/>
      </bottom>
      <diagonal/>
    </border>
    <border>
      <left/>
      <right style="thin">
        <color indexed="8"/>
      </right>
      <top style="dotted">
        <color indexed="8"/>
      </top>
      <bottom style="thick">
        <color indexed="8"/>
      </bottom>
      <diagonal/>
    </border>
    <border>
      <left style="thick">
        <color indexed="8"/>
      </left>
      <right style="thick">
        <color indexed="8"/>
      </right>
      <top style="thick">
        <color indexed="8"/>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bottom style="hair">
        <color indexed="64"/>
      </bottom>
      <diagonal/>
    </border>
    <border>
      <left/>
      <right/>
      <top style="thin">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style="dashed">
        <color indexed="8"/>
      </top>
      <bottom/>
      <diagonal/>
    </border>
    <border>
      <left style="thin">
        <color indexed="64"/>
      </left>
      <right style="thin">
        <color indexed="8"/>
      </right>
      <top style="medium">
        <color indexed="64"/>
      </top>
      <bottom/>
      <diagonal/>
    </border>
    <border>
      <left style="thin">
        <color indexed="64"/>
      </left>
      <right style="thin">
        <color indexed="8"/>
      </right>
      <top/>
      <bottom/>
      <diagonal/>
    </border>
    <border>
      <left style="thin">
        <color indexed="64"/>
      </left>
      <right style="thin">
        <color indexed="8"/>
      </right>
      <top/>
      <bottom style="thin">
        <color indexed="64"/>
      </bottom>
      <diagonal/>
    </border>
    <border>
      <left style="thin">
        <color indexed="64"/>
      </left>
      <right/>
      <top style="medium">
        <color indexed="64"/>
      </top>
      <bottom/>
      <diagonal/>
    </border>
    <border>
      <left style="thin">
        <color indexed="64"/>
      </left>
      <right/>
      <top/>
      <bottom style="thin">
        <color indexed="8"/>
      </bottom>
      <diagonal/>
    </border>
    <border>
      <left/>
      <right/>
      <top style="thin">
        <color indexed="8"/>
      </top>
      <bottom style="thin">
        <color indexed="8"/>
      </bottom>
      <diagonal/>
    </border>
    <border>
      <left/>
      <right style="thin">
        <color indexed="8"/>
      </right>
      <top/>
      <bottom/>
      <diagonal/>
    </border>
    <border>
      <left style="thin">
        <color indexed="8"/>
      </left>
      <right/>
      <top style="medium">
        <color indexed="64"/>
      </top>
      <bottom style="thin">
        <color indexed="8"/>
      </bottom>
      <diagonal/>
    </border>
    <border>
      <left style="thin">
        <color indexed="8"/>
      </left>
      <right style="thin">
        <color indexed="8"/>
      </right>
      <top style="medium">
        <color indexed="8"/>
      </top>
      <bottom/>
      <diagonal/>
    </border>
    <border>
      <left style="medium">
        <color indexed="64"/>
      </left>
      <right style="thin">
        <color indexed="8"/>
      </right>
      <top style="medium">
        <color indexed="64"/>
      </top>
      <bottom/>
      <diagonal/>
    </border>
    <border>
      <left style="medium">
        <color indexed="64"/>
      </left>
      <right style="thin">
        <color indexed="8"/>
      </right>
      <top/>
      <bottom style="thin">
        <color indexed="64"/>
      </bottom>
      <diagonal/>
    </border>
    <border>
      <left/>
      <right style="thin">
        <color indexed="8"/>
      </right>
      <top/>
      <bottom style="thin">
        <color indexed="64"/>
      </bottom>
      <diagonal/>
    </border>
    <border>
      <left/>
      <right style="thin">
        <color indexed="8"/>
      </right>
      <top style="medium">
        <color indexed="64"/>
      </top>
      <bottom style="thin">
        <color indexed="8"/>
      </bottom>
      <diagonal/>
    </border>
    <border>
      <left style="medium">
        <color indexed="8"/>
      </left>
      <right style="thin">
        <color indexed="8"/>
      </right>
      <top style="medium">
        <color indexed="8"/>
      </top>
      <bottom/>
      <diagonal/>
    </border>
    <border>
      <left style="medium">
        <color indexed="8"/>
      </left>
      <right style="thin">
        <color indexed="8"/>
      </right>
      <top/>
      <bottom/>
      <diagonal/>
    </border>
    <border>
      <left style="medium">
        <color indexed="8"/>
      </left>
      <right style="thin">
        <color indexed="8"/>
      </right>
      <top/>
      <bottom style="thin">
        <color indexed="8"/>
      </bottom>
      <diagonal/>
    </border>
    <border>
      <left style="medium">
        <color indexed="8"/>
      </left>
      <right style="thin">
        <color indexed="8"/>
      </right>
      <top style="thin">
        <color indexed="8"/>
      </top>
      <bottom/>
      <diagonal/>
    </border>
    <border>
      <left/>
      <right/>
      <top/>
      <bottom style="thin">
        <color indexed="8"/>
      </bottom>
      <diagonal/>
    </border>
    <border>
      <left style="thin">
        <color indexed="64"/>
      </left>
      <right/>
      <top style="thin">
        <color indexed="8"/>
      </top>
      <bottom/>
      <diagonal/>
    </border>
    <border>
      <left/>
      <right style="thin">
        <color indexed="8"/>
      </right>
      <top/>
      <bottom style="medium">
        <color indexed="64"/>
      </bottom>
      <diagonal/>
    </border>
    <border>
      <left style="thin">
        <color indexed="64"/>
      </left>
      <right style="thin">
        <color indexed="8"/>
      </right>
      <top style="thin">
        <color indexed="64"/>
      </top>
      <bottom/>
      <diagonal/>
    </border>
    <border>
      <left/>
      <right/>
      <top style="medium">
        <color indexed="8"/>
      </top>
      <bottom style="thin">
        <color indexed="8"/>
      </bottom>
      <diagonal/>
    </border>
    <border>
      <left/>
      <right style="thin">
        <color indexed="8"/>
      </right>
      <top style="medium">
        <color indexed="64"/>
      </top>
      <bottom style="medium">
        <color indexed="64"/>
      </bottom>
      <diagonal/>
    </border>
    <border>
      <left style="thin">
        <color indexed="8"/>
      </left>
      <right/>
      <top style="thin">
        <color indexed="8"/>
      </top>
      <bottom style="thin">
        <color indexed="8"/>
      </bottom>
      <diagonal/>
    </border>
    <border>
      <left style="medium">
        <color indexed="64"/>
      </left>
      <right style="thin">
        <color indexed="8"/>
      </right>
      <top/>
      <bottom style="double">
        <color indexed="8"/>
      </bottom>
      <diagonal/>
    </border>
    <border>
      <left style="thin">
        <color indexed="8"/>
      </left>
      <right style="thin">
        <color indexed="64"/>
      </right>
      <top/>
      <bottom style="thin">
        <color indexed="8"/>
      </bottom>
      <diagonal/>
    </border>
    <border>
      <left style="thin">
        <color indexed="8"/>
      </left>
      <right style="medium">
        <color indexed="64"/>
      </right>
      <top/>
      <bottom style="thin">
        <color indexed="8"/>
      </bottom>
      <diagonal/>
    </border>
    <border>
      <left style="thin">
        <color indexed="8"/>
      </left>
      <right/>
      <top style="double">
        <color indexed="8"/>
      </top>
      <bottom style="medium">
        <color indexed="64"/>
      </bottom>
      <diagonal/>
    </border>
    <border>
      <left/>
      <right style="medium">
        <color indexed="64"/>
      </right>
      <top style="double">
        <color indexed="8"/>
      </top>
      <bottom style="medium">
        <color indexed="64"/>
      </bottom>
      <diagonal/>
    </border>
    <border>
      <left style="medium">
        <color indexed="64"/>
      </left>
      <right/>
      <top style="double">
        <color indexed="8"/>
      </top>
      <bottom style="medium">
        <color indexed="64"/>
      </bottom>
      <diagonal/>
    </border>
    <border>
      <left/>
      <right/>
      <top style="double">
        <color indexed="8"/>
      </top>
      <bottom style="medium">
        <color indexed="64"/>
      </bottom>
      <diagonal/>
    </border>
    <border>
      <left/>
      <right style="thin">
        <color indexed="8"/>
      </right>
      <top style="double">
        <color indexed="8"/>
      </top>
      <bottom style="medium">
        <color indexed="64"/>
      </bottom>
      <diagonal/>
    </border>
    <border>
      <left style="thin">
        <color indexed="8"/>
      </left>
      <right/>
      <top style="thin">
        <color indexed="8"/>
      </top>
      <bottom style="double">
        <color indexed="8"/>
      </bottom>
      <diagonal/>
    </border>
    <border>
      <left/>
      <right/>
      <top style="thin">
        <color indexed="8"/>
      </top>
      <bottom style="double">
        <color indexed="8"/>
      </bottom>
      <diagonal/>
    </border>
    <border>
      <left/>
      <right style="thin">
        <color indexed="8"/>
      </right>
      <top style="thin">
        <color indexed="8"/>
      </top>
      <bottom style="double">
        <color indexed="8"/>
      </bottom>
      <diagonal/>
    </border>
    <border>
      <left/>
      <right style="medium">
        <color indexed="64"/>
      </right>
      <top style="thin">
        <color indexed="8"/>
      </top>
      <bottom style="double">
        <color indexed="8"/>
      </bottom>
      <diagonal/>
    </border>
    <border>
      <left/>
      <right style="thin">
        <color indexed="8"/>
      </right>
      <top style="thin">
        <color indexed="8"/>
      </top>
      <bottom/>
      <diagonal/>
    </border>
    <border>
      <left style="thin">
        <color indexed="64"/>
      </left>
      <right style="thin">
        <color indexed="64"/>
      </right>
      <top/>
      <bottom style="thin">
        <color indexed="8"/>
      </bottom>
      <diagonal/>
    </border>
    <border>
      <left/>
      <right style="thin">
        <color indexed="8"/>
      </right>
      <top style="thin">
        <color indexed="64"/>
      </top>
      <bottom style="thin">
        <color indexed="64"/>
      </bottom>
      <diagonal/>
    </border>
    <border>
      <left style="thin">
        <color indexed="8"/>
      </left>
      <right style="medium">
        <color indexed="64"/>
      </right>
      <top/>
      <bottom style="medium">
        <color indexed="64"/>
      </bottom>
      <diagonal/>
    </border>
    <border>
      <left style="thin">
        <color indexed="64"/>
      </left>
      <right/>
      <top style="medium">
        <color indexed="64"/>
      </top>
      <bottom style="thin">
        <color indexed="8"/>
      </bottom>
      <diagonal/>
    </border>
    <border>
      <left style="thick">
        <color indexed="8"/>
      </left>
      <right/>
      <top style="thin">
        <color indexed="8"/>
      </top>
      <bottom style="medium">
        <color indexed="64"/>
      </bottom>
      <diagonal/>
    </border>
    <border>
      <left style="thick">
        <color indexed="8"/>
      </left>
      <right/>
      <top style="medium">
        <color indexed="64"/>
      </top>
      <bottom style="medium">
        <color indexed="64"/>
      </bottom>
      <diagonal/>
    </border>
    <border>
      <left style="thin">
        <color indexed="64"/>
      </left>
      <right/>
      <top style="medium">
        <color indexed="64"/>
      </top>
      <bottom style="medium">
        <color indexed="64"/>
      </bottom>
      <diagonal/>
    </border>
    <border>
      <left style="thick">
        <color indexed="64"/>
      </left>
      <right style="thin">
        <color indexed="64"/>
      </right>
      <top style="medium">
        <color indexed="64"/>
      </top>
      <bottom/>
      <diagonal/>
    </border>
    <border>
      <left style="thick">
        <color indexed="64"/>
      </left>
      <right style="thin">
        <color indexed="64"/>
      </right>
      <top/>
      <bottom/>
      <diagonal/>
    </border>
    <border>
      <left style="thick">
        <color indexed="64"/>
      </left>
      <right style="thin">
        <color indexed="64"/>
      </right>
      <top style="thin">
        <color indexed="64"/>
      </top>
      <bottom/>
      <diagonal/>
    </border>
    <border>
      <left style="thick">
        <color indexed="64"/>
      </left>
      <right style="thin">
        <color indexed="64"/>
      </right>
      <top/>
      <bottom style="thick">
        <color indexed="64"/>
      </bottom>
      <diagonal/>
    </border>
    <border>
      <left style="medium">
        <color indexed="64"/>
      </left>
      <right style="thin">
        <color indexed="64"/>
      </right>
      <top/>
      <bottom/>
      <diagonal/>
    </border>
    <border>
      <left style="medium">
        <color indexed="64"/>
      </left>
      <right style="thin">
        <color indexed="64"/>
      </right>
      <top/>
      <bottom style="double">
        <color indexed="64"/>
      </bottom>
      <diagonal/>
    </border>
    <border>
      <left/>
      <right style="thin">
        <color indexed="64"/>
      </right>
      <top style="medium">
        <color indexed="64"/>
      </top>
      <bottom/>
      <diagonal/>
    </border>
    <border>
      <left style="thin">
        <color indexed="64"/>
      </left>
      <right/>
      <top/>
      <bottom style="double">
        <color indexed="64"/>
      </bottom>
      <diagonal/>
    </border>
    <border>
      <left/>
      <right style="thin">
        <color indexed="64"/>
      </right>
      <top/>
      <bottom style="double">
        <color indexed="64"/>
      </bottom>
      <diagonal/>
    </border>
    <border>
      <left style="thick">
        <color indexed="64"/>
      </left>
      <right style="thin">
        <color indexed="64"/>
      </right>
      <top/>
      <bottom style="medium">
        <color indexed="64"/>
      </bottom>
      <diagonal/>
    </border>
    <border>
      <left style="thin">
        <color indexed="64"/>
      </left>
      <right style="thin">
        <color indexed="64"/>
      </right>
      <top/>
      <bottom style="thick">
        <color indexed="64"/>
      </bottom>
      <diagonal/>
    </border>
    <border>
      <left style="thin">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right style="thin">
        <color indexed="64"/>
      </right>
      <top style="double">
        <color indexed="64"/>
      </top>
      <bottom style="medium">
        <color indexed="64"/>
      </bottom>
      <diagonal/>
    </border>
    <border>
      <left/>
      <right style="medium">
        <color indexed="64"/>
      </right>
      <top style="thin">
        <color indexed="64"/>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medium">
        <color indexed="64"/>
      </top>
      <bottom style="thin">
        <color indexed="64"/>
      </bottom>
      <diagonal/>
    </border>
    <border>
      <left style="thick">
        <color indexed="8"/>
      </left>
      <right/>
      <top style="thick">
        <color indexed="8"/>
      </top>
      <bottom style="thin">
        <color indexed="8"/>
      </bottom>
      <diagonal/>
    </border>
    <border>
      <left/>
      <right/>
      <top style="thick">
        <color indexed="8"/>
      </top>
      <bottom style="thin">
        <color indexed="8"/>
      </bottom>
      <diagonal/>
    </border>
    <border>
      <left/>
      <right style="thick">
        <color indexed="8"/>
      </right>
      <top style="thick">
        <color indexed="8"/>
      </top>
      <bottom style="thin">
        <color indexed="8"/>
      </bottom>
      <diagonal/>
    </border>
    <border>
      <left style="thick">
        <color indexed="8"/>
      </left>
      <right/>
      <top/>
      <bottom style="double">
        <color indexed="8"/>
      </bottom>
      <diagonal/>
    </border>
    <border>
      <left/>
      <right style="thick">
        <color indexed="8"/>
      </right>
      <top/>
      <bottom style="double">
        <color indexed="8"/>
      </bottom>
      <diagonal/>
    </border>
    <border>
      <left style="thick">
        <color indexed="8"/>
      </left>
      <right style="thick">
        <color indexed="8"/>
      </right>
      <top/>
      <bottom style="thin">
        <color indexed="64"/>
      </bottom>
      <diagonal/>
    </border>
    <border>
      <left/>
      <right style="thin">
        <color indexed="8"/>
      </right>
      <top style="thick">
        <color indexed="64"/>
      </top>
      <bottom style="thick">
        <color indexed="64"/>
      </bottom>
      <diagonal/>
    </border>
    <border>
      <left style="thick">
        <color indexed="64"/>
      </left>
      <right style="dashed">
        <color indexed="64"/>
      </right>
      <top style="thick">
        <color indexed="64"/>
      </top>
      <bottom/>
      <diagonal/>
    </border>
    <border>
      <left style="thick">
        <color indexed="64"/>
      </left>
      <right style="dashed">
        <color indexed="64"/>
      </right>
      <top/>
      <bottom style="dashed">
        <color indexed="64"/>
      </bottom>
      <diagonal/>
    </border>
    <border>
      <left style="thick">
        <color indexed="64"/>
      </left>
      <right/>
      <top style="thin">
        <color indexed="64"/>
      </top>
      <bottom/>
      <diagonal/>
    </border>
    <border>
      <left style="thick">
        <color indexed="64"/>
      </left>
      <right/>
      <top/>
      <bottom style="thin">
        <color indexed="64"/>
      </bottom>
      <diagonal/>
    </border>
    <border>
      <left style="thin">
        <color indexed="64"/>
      </left>
      <right style="thick">
        <color indexed="64"/>
      </right>
      <top style="thin">
        <color indexed="64"/>
      </top>
      <bottom/>
      <diagonal/>
    </border>
    <border>
      <left style="thick">
        <color indexed="8"/>
      </left>
      <right style="thick">
        <color indexed="8"/>
      </right>
      <top style="dotted">
        <color indexed="8"/>
      </top>
      <bottom/>
      <diagonal/>
    </border>
    <border>
      <left style="thick">
        <color indexed="64"/>
      </left>
      <right/>
      <top style="dashed">
        <color indexed="64"/>
      </top>
      <bottom style="thick">
        <color indexed="64"/>
      </bottom>
      <diagonal/>
    </border>
    <border>
      <left/>
      <right style="thin">
        <color indexed="64"/>
      </right>
      <top style="dashed">
        <color indexed="64"/>
      </top>
      <bottom style="thick">
        <color indexed="64"/>
      </bottom>
      <diagonal/>
    </border>
    <border>
      <left/>
      <right/>
      <top/>
      <bottom style="thick">
        <color indexed="64"/>
      </bottom>
      <diagonal/>
    </border>
    <border>
      <left/>
      <right style="medium">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dashed">
        <color indexed="64"/>
      </top>
      <bottom style="medium">
        <color indexed="64"/>
      </bottom>
      <diagonal/>
    </border>
    <border>
      <left/>
      <right style="medium">
        <color indexed="64"/>
      </right>
      <top style="thin">
        <color indexed="64"/>
      </top>
      <bottom style="dashed">
        <color indexed="64"/>
      </bottom>
      <diagonal/>
    </border>
    <border>
      <left style="medium">
        <color indexed="64"/>
      </left>
      <right style="thin">
        <color indexed="64"/>
      </right>
      <top/>
      <bottom style="thin">
        <color indexed="64"/>
      </bottom>
      <diagonal/>
    </border>
    <border>
      <left/>
      <right/>
      <top style="dashed">
        <color indexed="64"/>
      </top>
      <bottom style="thin">
        <color indexed="64"/>
      </bottom>
      <diagonal/>
    </border>
    <border>
      <left/>
      <right/>
      <top style="dashed">
        <color indexed="64"/>
      </top>
      <bottom style="medium">
        <color indexed="64"/>
      </bottom>
      <diagonal/>
    </border>
    <border>
      <left style="thin">
        <color indexed="8"/>
      </left>
      <right style="thin">
        <color indexed="8"/>
      </right>
      <top style="medium">
        <color indexed="64"/>
      </top>
      <bottom style="thick">
        <color indexed="8"/>
      </bottom>
      <diagonal/>
    </border>
    <border>
      <left style="medium">
        <color indexed="64"/>
      </left>
      <right/>
      <top style="thick">
        <color indexed="8"/>
      </top>
      <bottom/>
      <diagonal/>
    </border>
    <border>
      <left style="thin">
        <color indexed="8"/>
      </left>
      <right style="medium">
        <color indexed="64"/>
      </right>
      <top style="thick">
        <color indexed="8"/>
      </top>
      <bottom/>
      <diagonal/>
    </border>
    <border>
      <left style="medium">
        <color indexed="64"/>
      </left>
      <right/>
      <top style="dotted">
        <color indexed="8"/>
      </top>
      <bottom style="medium">
        <color indexed="64"/>
      </bottom>
      <diagonal/>
    </border>
    <border>
      <left style="thick">
        <color indexed="8"/>
      </left>
      <right/>
      <top style="dotted">
        <color indexed="8"/>
      </top>
      <bottom style="medium">
        <color indexed="64"/>
      </bottom>
      <diagonal/>
    </border>
    <border>
      <left style="thin">
        <color indexed="8"/>
      </left>
      <right/>
      <top style="dotted">
        <color indexed="8"/>
      </top>
      <bottom style="medium">
        <color indexed="64"/>
      </bottom>
      <diagonal/>
    </border>
    <border>
      <left style="thin">
        <color indexed="8"/>
      </left>
      <right style="thin">
        <color indexed="8"/>
      </right>
      <top style="dotted">
        <color indexed="8"/>
      </top>
      <bottom style="medium">
        <color indexed="64"/>
      </bottom>
      <diagonal/>
    </border>
    <border>
      <left style="thin">
        <color indexed="8"/>
      </left>
      <right style="medium">
        <color indexed="64"/>
      </right>
      <top style="dotted">
        <color indexed="8"/>
      </top>
      <bottom style="medium">
        <color indexed="64"/>
      </bottom>
      <diagonal/>
    </border>
  </borders>
  <cellStyleXfs count="21">
    <xf numFmtId="176" fontId="0" fillId="0" borderId="0"/>
    <xf numFmtId="229" fontId="85" fillId="0" borderId="0" applyFill="0" applyBorder="0" applyAlignment="0"/>
    <xf numFmtId="38" fontId="86" fillId="2" borderId="0" applyNumberFormat="0" applyBorder="0" applyAlignment="0" applyProtection="0"/>
    <xf numFmtId="0" fontId="87" fillId="0" borderId="1" applyNumberFormat="0" applyAlignment="0" applyProtection="0">
      <alignment horizontal="left" vertical="center"/>
    </xf>
    <xf numFmtId="0" fontId="87" fillId="0" borderId="2">
      <alignment horizontal="left" vertical="center"/>
    </xf>
    <xf numFmtId="10" fontId="86" fillId="3" borderId="3" applyNumberFormat="0" applyBorder="0" applyAlignment="0" applyProtection="0"/>
    <xf numFmtId="230" fontId="88" fillId="0" borderId="0"/>
    <xf numFmtId="0" fontId="89" fillId="0" borderId="0"/>
    <xf numFmtId="10" fontId="89" fillId="0" borderId="0" applyFont="0" applyFill="0" applyBorder="0" applyAlignment="0" applyProtection="0"/>
    <xf numFmtId="9" fontId="13" fillId="0" borderId="0" applyFont="0" applyFill="0" applyBorder="0" applyAlignment="0" applyProtection="0"/>
    <xf numFmtId="38" fontId="13" fillId="0" borderId="0" applyFont="0" applyFill="0" applyBorder="0" applyAlignment="0" applyProtection="0"/>
    <xf numFmtId="0" fontId="8" fillId="0" borderId="0"/>
    <xf numFmtId="3" fontId="8" fillId="0" borderId="0"/>
    <xf numFmtId="0" fontId="8" fillId="0" borderId="0"/>
    <xf numFmtId="0" fontId="8" fillId="0" borderId="0"/>
    <xf numFmtId="0" fontId="8" fillId="0" borderId="0"/>
    <xf numFmtId="0" fontId="8" fillId="0" borderId="0"/>
    <xf numFmtId="0" fontId="9" fillId="0" borderId="0"/>
    <xf numFmtId="0" fontId="8" fillId="0" borderId="0"/>
    <xf numFmtId="0" fontId="8" fillId="0" borderId="0"/>
    <xf numFmtId="0" fontId="8" fillId="0" borderId="0"/>
  </cellStyleXfs>
  <cellXfs count="2303">
    <xf numFmtId="0" fontId="0" fillId="0" borderId="0" xfId="0" applyNumberFormat="1" applyFont="1" applyAlignment="1" applyProtection="1">
      <protection locked="0"/>
    </xf>
    <xf numFmtId="0" fontId="11" fillId="0" borderId="0" xfId="20" applyFont="1" applyAlignment="1" applyProtection="1"/>
    <xf numFmtId="0" fontId="11" fillId="0" borderId="4" xfId="20" applyFont="1" applyBorder="1" applyAlignment="1" applyProtection="1"/>
    <xf numFmtId="0" fontId="11" fillId="0" borderId="4" xfId="20" applyFont="1" applyBorder="1" applyAlignment="1" applyProtection="1">
      <alignment horizontal="center"/>
    </xf>
    <xf numFmtId="0" fontId="11" fillId="0" borderId="5" xfId="20" applyFont="1" applyBorder="1" applyAlignment="1" applyProtection="1"/>
    <xf numFmtId="0" fontId="11" fillId="0" borderId="4" xfId="20" applyFont="1" applyBorder="1" applyAlignment="1" applyProtection="1">
      <alignment horizontal="distributed"/>
    </xf>
    <xf numFmtId="0" fontId="11" fillId="0" borderId="6" xfId="20" applyFont="1" applyBorder="1" applyAlignment="1" applyProtection="1"/>
    <xf numFmtId="0" fontId="11" fillId="0" borderId="0" xfId="20" quotePrefix="1" applyFont="1" applyAlignment="1" applyProtection="1">
      <alignment horizontal="left"/>
    </xf>
    <xf numFmtId="0" fontId="11" fillId="0" borderId="7" xfId="20" applyFont="1" applyBorder="1" applyAlignment="1" applyProtection="1">
      <alignment horizontal="center"/>
    </xf>
    <xf numFmtId="0" fontId="11" fillId="0" borderId="0" xfId="20" applyFont="1" applyBorder="1" applyAlignment="1" applyProtection="1"/>
    <xf numFmtId="0" fontId="12" fillId="0" borderId="0" xfId="20" applyNumberFormat="1" applyFont="1" applyBorder="1" applyAlignment="1" applyProtection="1">
      <protection locked="0"/>
    </xf>
    <xf numFmtId="0" fontId="11" fillId="0" borderId="0" xfId="20" applyFont="1" applyBorder="1" applyAlignment="1" applyProtection="1">
      <alignment horizontal="center"/>
    </xf>
    <xf numFmtId="0" fontId="11" fillId="0" borderId="0" xfId="20" applyFont="1" applyBorder="1" applyAlignment="1" applyProtection="1">
      <alignment horizontal="distributed"/>
    </xf>
    <xf numFmtId="0" fontId="1" fillId="0" borderId="0" xfId="20" applyFont="1" applyBorder="1" applyAlignment="1" applyProtection="1"/>
    <xf numFmtId="0" fontId="1" fillId="0" borderId="0" xfId="20" applyFont="1" applyAlignment="1" applyProtection="1"/>
    <xf numFmtId="0" fontId="1" fillId="0" borderId="0" xfId="20" applyNumberFormat="1" applyFont="1" applyAlignment="1" applyProtection="1"/>
    <xf numFmtId="0" fontId="1" fillId="0" borderId="0" xfId="20" applyNumberFormat="1" applyFont="1" applyBorder="1" applyAlignment="1" applyProtection="1"/>
    <xf numFmtId="0" fontId="1" fillId="0" borderId="0" xfId="12" applyNumberFormat="1" applyFont="1" applyAlignment="1"/>
    <xf numFmtId="0" fontId="1" fillId="0" borderId="0" xfId="12" applyNumberFormat="1" applyFont="1"/>
    <xf numFmtId="0" fontId="1" fillId="0" borderId="0" xfId="12" applyNumberFormat="1" applyFont="1" applyAlignment="1" applyProtection="1">
      <protection locked="0"/>
    </xf>
    <xf numFmtId="0" fontId="1" fillId="0" borderId="0" xfId="12" applyNumberFormat="1" applyFont="1" applyAlignment="1">
      <alignment horizontal="right"/>
    </xf>
    <xf numFmtId="0" fontId="11" fillId="0" borderId="0" xfId="12" applyNumberFormat="1" applyFont="1" applyAlignment="1"/>
    <xf numFmtId="0" fontId="1" fillId="0" borderId="0" xfId="12" quotePrefix="1" applyNumberFormat="1" applyFont="1" applyAlignment="1">
      <alignment horizontal="left"/>
    </xf>
    <xf numFmtId="0" fontId="1" fillId="0" borderId="0" xfId="12" applyNumberFormat="1" applyFont="1" applyAlignment="1">
      <alignment horizontal="center"/>
    </xf>
    <xf numFmtId="0" fontId="1" fillId="0" borderId="8" xfId="12" applyNumberFormat="1" applyFont="1" applyBorder="1" applyAlignment="1"/>
    <xf numFmtId="0" fontId="1" fillId="0" borderId="9" xfId="12" applyNumberFormat="1" applyFont="1" applyBorder="1" applyAlignment="1"/>
    <xf numFmtId="0" fontId="1" fillId="0" borderId="8" xfId="12" applyNumberFormat="1" applyFont="1" applyBorder="1" applyAlignment="1">
      <alignment horizontal="center"/>
    </xf>
    <xf numFmtId="0" fontId="1" fillId="0" borderId="10" xfId="12" applyNumberFormat="1" applyFont="1" applyBorder="1" applyAlignment="1"/>
    <xf numFmtId="0" fontId="1" fillId="0" borderId="10" xfId="12" applyNumberFormat="1" applyFont="1" applyBorder="1" applyAlignment="1">
      <alignment horizontal="center"/>
    </xf>
    <xf numFmtId="0" fontId="1" fillId="0" borderId="11" xfId="12" applyNumberFormat="1" applyFont="1" applyBorder="1" applyAlignment="1">
      <alignment horizontal="center"/>
    </xf>
    <xf numFmtId="0" fontId="1" fillId="0" borderId="4" xfId="12" applyNumberFormat="1" applyFont="1" applyBorder="1" applyAlignment="1">
      <alignment horizontal="center"/>
    </xf>
    <xf numFmtId="0" fontId="1" fillId="0" borderId="12" xfId="12" applyNumberFormat="1" applyFont="1" applyBorder="1" applyAlignment="1"/>
    <xf numFmtId="0" fontId="1" fillId="0" borderId="13" xfId="12" applyNumberFormat="1" applyFont="1" applyBorder="1" applyAlignment="1"/>
    <xf numFmtId="3" fontId="1" fillId="0" borderId="12" xfId="12" applyFont="1" applyBorder="1" applyAlignment="1"/>
    <xf numFmtId="3" fontId="1" fillId="0" borderId="14" xfId="12" applyFont="1" applyBorder="1" applyAlignment="1"/>
    <xf numFmtId="0" fontId="1" fillId="0" borderId="11" xfId="12" applyNumberFormat="1" applyFont="1" applyBorder="1" applyAlignment="1"/>
    <xf numFmtId="0" fontId="1" fillId="0" borderId="6" xfId="12" applyNumberFormat="1" applyFont="1" applyBorder="1" applyAlignment="1"/>
    <xf numFmtId="3" fontId="1" fillId="0" borderId="11" xfId="12" applyFont="1" applyBorder="1" applyAlignment="1"/>
    <xf numFmtId="3" fontId="1" fillId="0" borderId="4" xfId="12" applyFont="1" applyBorder="1" applyAlignment="1"/>
    <xf numFmtId="3" fontId="1" fillId="0" borderId="0" xfId="12" applyFont="1" applyAlignment="1"/>
    <xf numFmtId="0" fontId="1" fillId="0" borderId="4" xfId="12" applyNumberFormat="1" applyFont="1" applyBorder="1" applyAlignment="1"/>
    <xf numFmtId="3" fontId="1" fillId="0" borderId="15" xfId="12" applyFont="1" applyBorder="1" applyAlignment="1"/>
    <xf numFmtId="3" fontId="1" fillId="0" borderId="6" xfId="12" applyFont="1" applyBorder="1" applyAlignment="1"/>
    <xf numFmtId="3" fontId="1" fillId="0" borderId="16" xfId="12" applyFont="1" applyBorder="1" applyAlignment="1"/>
    <xf numFmtId="3" fontId="1" fillId="0" borderId="17" xfId="12" applyFont="1" applyBorder="1" applyAlignment="1"/>
    <xf numFmtId="3" fontId="1" fillId="0" borderId="8" xfId="12" applyFont="1" applyBorder="1" applyAlignment="1"/>
    <xf numFmtId="3" fontId="1" fillId="0" borderId="18" xfId="12" applyFont="1" applyBorder="1" applyAlignment="1"/>
    <xf numFmtId="3" fontId="1" fillId="0" borderId="0" xfId="12" applyNumberFormat="1" applyFont="1" applyAlignment="1" applyProtection="1">
      <protection locked="0"/>
    </xf>
    <xf numFmtId="2" fontId="1" fillId="0" borderId="8" xfId="12" applyNumberFormat="1" applyFont="1" applyBorder="1" applyAlignment="1"/>
    <xf numFmtId="2" fontId="1" fillId="0" borderId="18" xfId="12" applyNumberFormat="1" applyFont="1" applyBorder="1" applyAlignment="1"/>
    <xf numFmtId="0" fontId="1" fillId="0" borderId="19" xfId="12" applyNumberFormat="1" applyFont="1" applyBorder="1" applyAlignment="1"/>
    <xf numFmtId="0" fontId="1" fillId="0" borderId="20" xfId="12" applyNumberFormat="1" applyFont="1" applyBorder="1" applyAlignment="1"/>
    <xf numFmtId="0" fontId="1" fillId="0" borderId="5" xfId="12" applyNumberFormat="1" applyFont="1" applyBorder="1" applyAlignment="1"/>
    <xf numFmtId="0" fontId="1" fillId="0" borderId="5" xfId="12" applyNumberFormat="1" applyFont="1" applyBorder="1" applyAlignment="1">
      <alignment horizontal="center"/>
    </xf>
    <xf numFmtId="0" fontId="1" fillId="0" borderId="19" xfId="12" applyNumberFormat="1" applyFont="1" applyBorder="1" applyAlignment="1">
      <alignment horizontal="center"/>
    </xf>
    <xf numFmtId="0" fontId="1" fillId="0" borderId="20" xfId="12" applyNumberFormat="1" applyFont="1" applyBorder="1" applyAlignment="1">
      <alignment horizontal="center"/>
    </xf>
    <xf numFmtId="0" fontId="1" fillId="0" borderId="21" xfId="12" applyNumberFormat="1" applyFont="1" applyBorder="1" applyAlignment="1"/>
    <xf numFmtId="0" fontId="1" fillId="0" borderId="22" xfId="12" applyNumberFormat="1" applyFont="1" applyBorder="1" applyAlignment="1"/>
    <xf numFmtId="0" fontId="1" fillId="0" borderId="9" xfId="12" applyNumberFormat="1" applyFont="1" applyBorder="1" applyAlignment="1">
      <alignment horizontal="center"/>
    </xf>
    <xf numFmtId="0" fontId="1" fillId="0" borderId="18" xfId="12" applyNumberFormat="1" applyFont="1" applyBorder="1" applyAlignment="1"/>
    <xf numFmtId="181" fontId="1" fillId="0" borderId="0" xfId="12" applyNumberFormat="1" applyFont="1" applyAlignment="1"/>
    <xf numFmtId="0" fontId="1" fillId="0" borderId="23" xfId="12" applyNumberFormat="1" applyFont="1" applyBorder="1" applyAlignment="1"/>
    <xf numFmtId="0" fontId="1" fillId="0" borderId="24" xfId="12" applyNumberFormat="1" applyFont="1" applyBorder="1" applyAlignment="1"/>
    <xf numFmtId="3" fontId="1" fillId="0" borderId="5" xfId="12" applyFont="1" applyBorder="1" applyAlignment="1"/>
    <xf numFmtId="181" fontId="1" fillId="0" borderId="5" xfId="12" applyNumberFormat="1" applyFont="1" applyBorder="1" applyAlignment="1"/>
    <xf numFmtId="0" fontId="1" fillId="0" borderId="0" xfId="13" applyFont="1" applyAlignment="1"/>
    <xf numFmtId="0" fontId="1" fillId="0" borderId="0" xfId="13" applyNumberFormat="1" applyFont="1" applyAlignment="1" applyProtection="1">
      <protection locked="0"/>
    </xf>
    <xf numFmtId="0" fontId="11" fillId="0" borderId="0" xfId="13" applyFont="1" applyAlignment="1">
      <alignment vertical="center"/>
    </xf>
    <xf numFmtId="0" fontId="1" fillId="0" borderId="8" xfId="13" applyFont="1" applyBorder="1" applyAlignment="1"/>
    <xf numFmtId="0" fontId="1" fillId="0" borderId="8" xfId="13" applyFont="1" applyBorder="1" applyAlignment="1">
      <alignment horizontal="center" vertical="center" wrapText="1"/>
    </xf>
    <xf numFmtId="0" fontId="1" fillId="0" borderId="8" xfId="13" applyFont="1" applyBorder="1" applyAlignment="1">
      <alignment horizontal="left" vertical="center" wrapText="1"/>
    </xf>
    <xf numFmtId="0" fontId="1" fillId="0" borderId="18" xfId="13" applyFont="1" applyBorder="1" applyAlignment="1">
      <alignment horizontal="left" vertical="center" wrapText="1"/>
    </xf>
    <xf numFmtId="0" fontId="1" fillId="0" borderId="10" xfId="13" applyFont="1" applyBorder="1" applyAlignment="1"/>
    <xf numFmtId="0" fontId="1" fillId="0" borderId="8" xfId="13" applyFont="1" applyBorder="1" applyAlignment="1">
      <alignment horizontal="distributed"/>
    </xf>
    <xf numFmtId="0" fontId="1" fillId="0" borderId="8" xfId="13" applyNumberFormat="1" applyFont="1" applyBorder="1" applyAlignment="1" applyProtection="1">
      <protection locked="0"/>
    </xf>
    <xf numFmtId="3" fontId="1" fillId="0" borderId="8" xfId="13" applyNumberFormat="1" applyFont="1" applyBorder="1" applyAlignment="1"/>
    <xf numFmtId="3" fontId="1" fillId="0" borderId="18" xfId="13" applyNumberFormat="1" applyFont="1" applyBorder="1" applyAlignment="1"/>
    <xf numFmtId="0" fontId="1" fillId="0" borderId="16" xfId="13" applyFont="1" applyBorder="1" applyAlignment="1">
      <alignment horizontal="distributed"/>
    </xf>
    <xf numFmtId="0" fontId="1" fillId="0" borderId="16" xfId="13" applyNumberFormat="1" applyFont="1" applyBorder="1" applyAlignment="1" applyProtection="1">
      <protection locked="0"/>
    </xf>
    <xf numFmtId="3" fontId="1" fillId="0" borderId="16" xfId="13" applyNumberFormat="1" applyFont="1" applyBorder="1" applyAlignment="1"/>
    <xf numFmtId="3" fontId="1" fillId="0" borderId="17" xfId="13" applyNumberFormat="1" applyFont="1" applyBorder="1" applyAlignment="1"/>
    <xf numFmtId="0" fontId="1" fillId="0" borderId="10" xfId="13" applyFont="1" applyBorder="1" applyAlignment="1">
      <alignment horizontal="left"/>
    </xf>
    <xf numFmtId="0" fontId="1" fillId="0" borderId="9" xfId="13" applyFont="1" applyBorder="1" applyAlignment="1"/>
    <xf numFmtId="0" fontId="11" fillId="0" borderId="0" xfId="13" applyFont="1" applyAlignment="1"/>
    <xf numFmtId="0" fontId="11" fillId="0" borderId="8" xfId="13" applyFont="1" applyBorder="1" applyAlignment="1">
      <alignment horizontal="center"/>
    </xf>
    <xf numFmtId="0" fontId="11" fillId="0" borderId="18" xfId="13" applyFont="1" applyBorder="1" applyAlignment="1">
      <alignment horizontal="center"/>
    </xf>
    <xf numFmtId="0" fontId="1" fillId="0" borderId="9" xfId="13" applyFont="1" applyBorder="1" applyAlignment="1">
      <alignment horizontal="center"/>
    </xf>
    <xf numFmtId="0" fontId="1" fillId="0" borderId="16" xfId="13" applyFont="1" applyBorder="1" applyAlignment="1"/>
    <xf numFmtId="0" fontId="11" fillId="0" borderId="0" xfId="13" quotePrefix="1" applyNumberFormat="1" applyFont="1" applyAlignment="1" applyProtection="1">
      <alignment horizontal="left"/>
      <protection locked="0"/>
    </xf>
    <xf numFmtId="0" fontId="1" fillId="0" borderId="25" xfId="13" applyNumberFormat="1" applyFont="1" applyBorder="1" applyAlignment="1" applyProtection="1">
      <protection locked="0"/>
    </xf>
    <xf numFmtId="0" fontId="1" fillId="0" borderId="26" xfId="13" applyNumberFormat="1" applyFont="1" applyBorder="1" applyAlignment="1" applyProtection="1">
      <protection locked="0"/>
    </xf>
    <xf numFmtId="0" fontId="1" fillId="0" borderId="27" xfId="13" applyNumberFormat="1" applyFont="1" applyBorder="1" applyAlignment="1" applyProtection="1">
      <alignment horizontal="center"/>
      <protection locked="0"/>
    </xf>
    <xf numFmtId="0" fontId="1" fillId="0" borderId="26" xfId="13" applyNumberFormat="1" applyFont="1" applyBorder="1" applyAlignment="1" applyProtection="1">
      <alignment horizontal="center"/>
      <protection locked="0"/>
    </xf>
    <xf numFmtId="0" fontId="1" fillId="0" borderId="28" xfId="13" applyNumberFormat="1" applyFont="1" applyBorder="1" applyAlignment="1" applyProtection="1">
      <protection locked="0"/>
    </xf>
    <xf numFmtId="0" fontId="1" fillId="0" borderId="29" xfId="13" applyNumberFormat="1" applyFont="1" applyBorder="1" applyAlignment="1" applyProtection="1">
      <protection locked="0"/>
    </xf>
    <xf numFmtId="186" fontId="1" fillId="0" borderId="30" xfId="13" applyNumberFormat="1" applyFont="1" applyBorder="1" applyAlignment="1" applyProtection="1">
      <protection locked="0"/>
    </xf>
    <xf numFmtId="186" fontId="1" fillId="0" borderId="31" xfId="13" applyNumberFormat="1" applyFont="1" applyBorder="1" applyAlignment="1" applyProtection="1">
      <protection locked="0"/>
    </xf>
    <xf numFmtId="186" fontId="1" fillId="0" borderId="32" xfId="13" applyNumberFormat="1" applyFont="1" applyBorder="1" applyAlignment="1" applyProtection="1">
      <protection locked="0"/>
    </xf>
    <xf numFmtId="186" fontId="1" fillId="0" borderId="33" xfId="13" applyNumberFormat="1" applyFont="1" applyBorder="1" applyAlignment="1" applyProtection="1">
      <protection locked="0"/>
    </xf>
    <xf numFmtId="0" fontId="1" fillId="0" borderId="34" xfId="13" applyNumberFormat="1" applyFont="1" applyBorder="1" applyAlignment="1" applyProtection="1">
      <protection locked="0"/>
    </xf>
    <xf numFmtId="0" fontId="1" fillId="0" borderId="35" xfId="13" applyNumberFormat="1" applyFont="1" applyBorder="1" applyAlignment="1" applyProtection="1">
      <protection locked="0"/>
    </xf>
    <xf numFmtId="186" fontId="1" fillId="0" borderId="36" xfId="13" applyNumberFormat="1" applyFont="1" applyBorder="1" applyAlignment="1" applyProtection="1">
      <protection locked="0"/>
    </xf>
    <xf numFmtId="186" fontId="1" fillId="0" borderId="37" xfId="13" applyNumberFormat="1" applyFont="1" applyBorder="1" applyAlignment="1" applyProtection="1">
      <protection locked="0"/>
    </xf>
    <xf numFmtId="0" fontId="19" fillId="0" borderId="0" xfId="12" applyNumberFormat="1" applyFont="1" applyAlignment="1"/>
    <xf numFmtId="0" fontId="1" fillId="0" borderId="0" xfId="12" applyNumberFormat="1" applyFont="1" applyBorder="1" applyAlignment="1"/>
    <xf numFmtId="0" fontId="1" fillId="0" borderId="2" xfId="12" applyNumberFormat="1" applyFont="1" applyBorder="1" applyAlignment="1"/>
    <xf numFmtId="0" fontId="1" fillId="0" borderId="38" xfId="12" applyNumberFormat="1" applyFont="1" applyBorder="1" applyAlignment="1"/>
    <xf numFmtId="0" fontId="1" fillId="0" borderId="39" xfId="12" applyNumberFormat="1" applyFont="1" applyBorder="1" applyAlignment="1"/>
    <xf numFmtId="0" fontId="1" fillId="0" borderId="40" xfId="12" applyNumberFormat="1" applyFont="1" applyBorder="1" applyAlignment="1"/>
    <xf numFmtId="0" fontId="1" fillId="0" borderId="41" xfId="12" applyNumberFormat="1" applyFont="1" applyBorder="1" applyAlignment="1"/>
    <xf numFmtId="0" fontId="1" fillId="0" borderId="41" xfId="12" applyNumberFormat="1" applyFont="1" applyBorder="1" applyAlignment="1">
      <alignment horizontal="center"/>
    </xf>
    <xf numFmtId="0" fontId="21" fillId="0" borderId="0" xfId="0" applyNumberFormat="1" applyFont="1" applyAlignment="1" applyProtection="1">
      <protection locked="0"/>
    </xf>
    <xf numFmtId="0" fontId="21" fillId="0" borderId="42" xfId="0" applyNumberFormat="1" applyFont="1" applyBorder="1" applyAlignment="1" applyProtection="1">
      <alignment horizontal="center"/>
      <protection locked="0"/>
    </xf>
    <xf numFmtId="0" fontId="21" fillId="0" borderId="43" xfId="0" applyNumberFormat="1" applyFont="1" applyBorder="1" applyAlignment="1" applyProtection="1">
      <protection locked="0"/>
    </xf>
    <xf numFmtId="0" fontId="21" fillId="0" borderId="44" xfId="0" applyNumberFormat="1" applyFont="1" applyBorder="1" applyAlignment="1" applyProtection="1">
      <alignment horizontal="center"/>
      <protection locked="0"/>
    </xf>
    <xf numFmtId="0" fontId="21" fillId="0" borderId="45" xfId="0" applyNumberFormat="1" applyFont="1" applyBorder="1" applyAlignment="1" applyProtection="1">
      <protection locked="0"/>
    </xf>
    <xf numFmtId="0" fontId="21" fillId="4" borderId="46" xfId="0" applyNumberFormat="1" applyFont="1" applyFill="1" applyBorder="1" applyAlignment="1" applyProtection="1">
      <alignment horizontal="center"/>
      <protection locked="0"/>
    </xf>
    <xf numFmtId="0" fontId="21" fillId="4" borderId="45" xfId="0" applyNumberFormat="1" applyFont="1" applyFill="1" applyBorder="1" applyAlignment="1" applyProtection="1">
      <alignment horizontal="center"/>
      <protection locked="0"/>
    </xf>
    <xf numFmtId="0" fontId="21" fillId="4" borderId="46" xfId="0" applyNumberFormat="1" applyFont="1" applyFill="1" applyBorder="1" applyAlignment="1" applyProtection="1">
      <alignment horizontal="left"/>
      <protection locked="0"/>
    </xf>
    <xf numFmtId="0" fontId="0" fillId="5" borderId="45" xfId="0" applyNumberFormat="1" applyFont="1" applyFill="1" applyBorder="1" applyAlignment="1" applyProtection="1">
      <alignment horizontal="center"/>
      <protection locked="0"/>
    </xf>
    <xf numFmtId="0" fontId="21" fillId="5" borderId="46" xfId="0" applyNumberFormat="1" applyFont="1" applyFill="1" applyBorder="1" applyAlignment="1" applyProtection="1">
      <alignment horizontal="center"/>
      <protection locked="0"/>
    </xf>
    <xf numFmtId="0" fontId="21" fillId="6" borderId="45" xfId="0" applyNumberFormat="1" applyFont="1" applyFill="1" applyBorder="1" applyAlignment="1" applyProtection="1">
      <alignment horizontal="center"/>
      <protection locked="0"/>
    </xf>
    <xf numFmtId="0" fontId="21" fillId="6" borderId="46" xfId="0" applyNumberFormat="1" applyFont="1" applyFill="1" applyBorder="1" applyAlignment="1" applyProtection="1">
      <alignment horizontal="center"/>
      <protection locked="0"/>
    </xf>
    <xf numFmtId="0" fontId="21" fillId="2" borderId="45" xfId="0" applyNumberFormat="1" applyFont="1" applyFill="1" applyBorder="1" applyAlignment="1" applyProtection="1">
      <alignment horizontal="center"/>
      <protection locked="0"/>
    </xf>
    <xf numFmtId="0" fontId="21" fillId="7" borderId="46" xfId="0" applyNumberFormat="1" applyFont="1" applyFill="1" applyBorder="1" applyAlignment="1" applyProtection="1">
      <alignment horizontal="center"/>
      <protection locked="0"/>
    </xf>
    <xf numFmtId="0" fontId="0" fillId="8" borderId="45" xfId="0" applyNumberFormat="1" applyFont="1" applyFill="1" applyBorder="1" applyAlignment="1" applyProtection="1">
      <protection locked="0"/>
    </xf>
    <xf numFmtId="0" fontId="21" fillId="8" borderId="46" xfId="0" applyNumberFormat="1" applyFont="1" applyFill="1" applyBorder="1" applyAlignment="1" applyProtection="1">
      <alignment horizontal="center"/>
      <protection locked="0"/>
    </xf>
    <xf numFmtId="0" fontId="21" fillId="5" borderId="47" xfId="0" applyNumberFormat="1" applyFont="1" applyFill="1" applyBorder="1" applyAlignment="1" applyProtection="1">
      <alignment horizontal="center"/>
      <protection locked="0"/>
    </xf>
    <xf numFmtId="0" fontId="21" fillId="0" borderId="48" xfId="0" applyNumberFormat="1" applyFont="1" applyBorder="1" applyAlignment="1" applyProtection="1">
      <alignment horizontal="center"/>
      <protection locked="0"/>
    </xf>
    <xf numFmtId="0" fontId="21" fillId="0" borderId="49" xfId="0" applyNumberFormat="1" applyFont="1" applyBorder="1" applyAlignment="1" applyProtection="1">
      <protection locked="0"/>
    </xf>
    <xf numFmtId="0" fontId="21" fillId="0" borderId="50" xfId="0" applyNumberFormat="1" applyFont="1" applyBorder="1" applyAlignment="1" applyProtection="1">
      <alignment horizontal="center"/>
      <protection locked="0"/>
    </xf>
    <xf numFmtId="0" fontId="21" fillId="0" borderId="51" xfId="0" applyNumberFormat="1" applyFont="1" applyBorder="1" applyAlignment="1" applyProtection="1">
      <protection locked="0"/>
    </xf>
    <xf numFmtId="0" fontId="21" fillId="0" borderId="52" xfId="0" applyNumberFormat="1" applyFont="1" applyBorder="1" applyAlignment="1" applyProtection="1">
      <alignment horizontal="center"/>
      <protection locked="0"/>
    </xf>
    <xf numFmtId="0" fontId="21" fillId="0" borderId="47" xfId="0" applyNumberFormat="1" applyFont="1" applyBorder="1" applyAlignment="1" applyProtection="1">
      <protection locked="0"/>
    </xf>
    <xf numFmtId="0" fontId="21" fillId="0" borderId="53" xfId="0" applyNumberFormat="1" applyFont="1" applyBorder="1" applyAlignment="1" applyProtection="1">
      <alignment horizontal="center"/>
      <protection locked="0"/>
    </xf>
    <xf numFmtId="0" fontId="21" fillId="0" borderId="54" xfId="0" applyNumberFormat="1" applyFont="1" applyBorder="1" applyAlignment="1" applyProtection="1">
      <alignment horizontal="center"/>
      <protection locked="0"/>
    </xf>
    <xf numFmtId="0" fontId="21" fillId="0" borderId="55" xfId="0" applyNumberFormat="1" applyFont="1" applyBorder="1" applyAlignment="1" applyProtection="1">
      <alignment horizontal="center"/>
      <protection locked="0"/>
    </xf>
    <xf numFmtId="0" fontId="21" fillId="0" borderId="56" xfId="0" applyNumberFormat="1" applyFont="1" applyBorder="1" applyAlignment="1" applyProtection="1">
      <protection locked="0"/>
    </xf>
    <xf numFmtId="0" fontId="21" fillId="0" borderId="57" xfId="0" applyNumberFormat="1" applyFont="1" applyBorder="1" applyAlignment="1" applyProtection="1">
      <alignment horizontal="center"/>
      <protection locked="0"/>
    </xf>
    <xf numFmtId="0" fontId="21" fillId="0" borderId="58" xfId="0" applyNumberFormat="1" applyFont="1" applyBorder="1" applyAlignment="1" applyProtection="1">
      <protection locked="0"/>
    </xf>
    <xf numFmtId="0" fontId="21" fillId="0" borderId="1" xfId="0" applyNumberFormat="1" applyFont="1" applyBorder="1" applyAlignment="1" applyProtection="1">
      <alignment horizontal="center"/>
      <protection locked="0"/>
    </xf>
    <xf numFmtId="0" fontId="21" fillId="0" borderId="1" xfId="0" applyNumberFormat="1" applyFont="1" applyBorder="1" applyAlignment="1" applyProtection="1">
      <protection locked="0"/>
    </xf>
    <xf numFmtId="0" fontId="21" fillId="0" borderId="1" xfId="0" applyNumberFormat="1" applyFont="1" applyFill="1" applyBorder="1" applyAlignment="1" applyProtection="1">
      <alignment horizontal="center"/>
      <protection locked="0"/>
    </xf>
    <xf numFmtId="0" fontId="0" fillId="0" borderId="1" xfId="0" applyNumberFormat="1" applyFont="1" applyBorder="1" applyAlignment="1" applyProtection="1">
      <alignment horizontal="center"/>
      <protection locked="0"/>
    </xf>
    <xf numFmtId="0" fontId="21" fillId="0" borderId="0" xfId="0" applyNumberFormat="1" applyFont="1" applyFill="1" applyBorder="1" applyAlignment="1" applyProtection="1">
      <alignment horizontal="center"/>
      <protection locked="0"/>
    </xf>
    <xf numFmtId="0" fontId="21" fillId="2" borderId="47" xfId="0" applyNumberFormat="1" applyFont="1" applyFill="1" applyBorder="1" applyAlignment="1" applyProtection="1">
      <alignment horizontal="center"/>
      <protection locked="0"/>
    </xf>
    <xf numFmtId="0" fontId="21" fillId="2" borderId="59" xfId="0" applyNumberFormat="1" applyFont="1" applyFill="1" applyBorder="1" applyAlignment="1" applyProtection="1">
      <alignment horizontal="center"/>
      <protection locked="0"/>
    </xf>
    <xf numFmtId="0" fontId="21" fillId="9" borderId="59" xfId="0" applyNumberFormat="1" applyFont="1" applyFill="1" applyBorder="1" applyAlignment="1" applyProtection="1">
      <alignment horizontal="center"/>
      <protection locked="0"/>
    </xf>
    <xf numFmtId="176" fontId="0" fillId="0" borderId="0" xfId="0" applyAlignment="1">
      <alignment horizontal="center"/>
    </xf>
    <xf numFmtId="176" fontId="0" fillId="0" borderId="0" xfId="0"/>
    <xf numFmtId="0" fontId="25" fillId="0" borderId="0" xfId="15" applyFont="1" applyAlignment="1"/>
    <xf numFmtId="0" fontId="25" fillId="0" borderId="0" xfId="15" applyNumberFormat="1" applyFont="1" applyAlignment="1" applyProtection="1">
      <protection locked="0"/>
    </xf>
    <xf numFmtId="0" fontId="25" fillId="0" borderId="0" xfId="18" applyNumberFormat="1" applyFont="1" applyAlignment="1" applyProtection="1">
      <protection locked="0"/>
    </xf>
    <xf numFmtId="0" fontId="8" fillId="0" borderId="0" xfId="14" applyFont="1" applyAlignment="1"/>
    <xf numFmtId="0" fontId="25" fillId="0" borderId="0" xfId="14" applyFont="1" applyAlignment="1"/>
    <xf numFmtId="0" fontId="25" fillId="0" borderId="0" xfId="14" applyNumberFormat="1" applyFont="1" applyAlignment="1" applyProtection="1">
      <protection locked="0"/>
    </xf>
    <xf numFmtId="0" fontId="8" fillId="0" borderId="0" xfId="16" applyFont="1" applyAlignment="1"/>
    <xf numFmtId="0" fontId="26" fillId="0" borderId="0" xfId="16" applyFont="1" applyAlignment="1"/>
    <xf numFmtId="0" fontId="25" fillId="0" borderId="0" xfId="16" applyFont="1" applyBorder="1" applyAlignment="1"/>
    <xf numFmtId="0" fontId="25" fillId="0" borderId="0" xfId="16" applyFont="1" applyAlignment="1"/>
    <xf numFmtId="0" fontId="8" fillId="0" borderId="0" xfId="15" applyNumberFormat="1" applyFont="1" applyAlignment="1" applyProtection="1">
      <protection locked="0"/>
    </xf>
    <xf numFmtId="0" fontId="1" fillId="0" borderId="0" xfId="13" applyFont="1" applyBorder="1" applyAlignment="1"/>
    <xf numFmtId="0" fontId="1" fillId="0" borderId="60" xfId="13" applyFont="1" applyBorder="1" applyAlignment="1"/>
    <xf numFmtId="0" fontId="1" fillId="0" borderId="61" xfId="13" applyFont="1" applyBorder="1" applyAlignment="1"/>
    <xf numFmtId="38" fontId="21" fillId="0" borderId="0" xfId="10" applyFont="1" applyAlignment="1" applyProtection="1">
      <protection locked="0"/>
    </xf>
    <xf numFmtId="0" fontId="8" fillId="0" borderId="0" xfId="16" applyFont="1" applyBorder="1" applyAlignment="1"/>
    <xf numFmtId="0" fontId="1" fillId="0" borderId="0" xfId="14" applyFont="1" applyFill="1" applyAlignment="1" applyProtection="1"/>
    <xf numFmtId="0" fontId="1" fillId="0" borderId="0" xfId="14" applyNumberFormat="1" applyFont="1" applyFill="1" applyAlignment="1" applyProtection="1"/>
    <xf numFmtId="3" fontId="1" fillId="0" borderId="0" xfId="14" applyNumberFormat="1" applyFont="1" applyFill="1" applyAlignment="1" applyProtection="1"/>
    <xf numFmtId="0" fontId="1" fillId="0" borderId="62" xfId="13" applyFont="1" applyBorder="1" applyAlignment="1"/>
    <xf numFmtId="0" fontId="1" fillId="0" borderId="63" xfId="13" applyFont="1" applyBorder="1" applyAlignment="1"/>
    <xf numFmtId="0" fontId="1" fillId="0" borderId="63" xfId="13" applyFont="1" applyBorder="1" applyAlignment="1">
      <alignment horizontal="center"/>
    </xf>
    <xf numFmtId="0" fontId="1" fillId="0" borderId="64" xfId="13" applyFont="1" applyBorder="1" applyAlignment="1">
      <alignment horizontal="center"/>
    </xf>
    <xf numFmtId="0" fontId="1" fillId="0" borderId="65" xfId="13" applyFont="1" applyBorder="1" applyAlignment="1">
      <alignment horizontal="center"/>
    </xf>
    <xf numFmtId="0" fontId="1" fillId="0" borderId="66" xfId="13" applyFont="1" applyBorder="1" applyAlignment="1"/>
    <xf numFmtId="0" fontId="1" fillId="0" borderId="67" xfId="13" applyFont="1" applyBorder="1" applyAlignment="1"/>
    <xf numFmtId="0" fontId="1" fillId="0" borderId="68" xfId="13" applyFont="1" applyBorder="1" applyAlignment="1"/>
    <xf numFmtId="0" fontId="1" fillId="0" borderId="69" xfId="13" applyFont="1" applyBorder="1" applyAlignment="1"/>
    <xf numFmtId="0" fontId="1" fillId="0" borderId="70" xfId="13" applyFont="1" applyBorder="1" applyAlignment="1"/>
    <xf numFmtId="0" fontId="1" fillId="0" borderId="71" xfId="13" applyFont="1" applyBorder="1" applyAlignment="1"/>
    <xf numFmtId="0" fontId="1" fillId="0" borderId="71" xfId="13" applyFont="1" applyBorder="1" applyAlignment="1">
      <alignment horizontal="center"/>
    </xf>
    <xf numFmtId="0" fontId="8" fillId="0" borderId="0" xfId="14" applyNumberFormat="1" applyFont="1" applyAlignment="1" applyProtection="1">
      <protection locked="0"/>
    </xf>
    <xf numFmtId="0" fontId="8" fillId="0" borderId="0" xfId="18" applyNumberFormat="1" applyFont="1" applyAlignment="1" applyProtection="1">
      <protection locked="0"/>
    </xf>
    <xf numFmtId="176" fontId="34" fillId="0" borderId="0" xfId="0" applyFont="1"/>
    <xf numFmtId="176" fontId="35" fillId="0" borderId="0" xfId="0" applyFont="1"/>
    <xf numFmtId="176" fontId="36" fillId="0" borderId="0" xfId="0" applyFont="1"/>
    <xf numFmtId="176" fontId="37" fillId="0" borderId="0" xfId="0" applyFont="1"/>
    <xf numFmtId="176" fontId="38" fillId="0" borderId="0" xfId="0" applyFont="1" applyAlignment="1">
      <alignment horizontal="centerContinuous"/>
    </xf>
    <xf numFmtId="176" fontId="39" fillId="0" borderId="0" xfId="0" applyFont="1" applyAlignment="1">
      <alignment horizontal="centerContinuous"/>
    </xf>
    <xf numFmtId="176" fontId="39" fillId="0" borderId="0" xfId="0" applyFont="1"/>
    <xf numFmtId="176" fontId="22" fillId="0" borderId="0" xfId="0" applyFont="1" applyAlignment="1">
      <alignment horizontal="left"/>
    </xf>
    <xf numFmtId="176" fontId="25" fillId="0" borderId="0" xfId="0" applyFont="1"/>
    <xf numFmtId="176" fontId="33" fillId="0" borderId="0" xfId="0" applyFont="1"/>
    <xf numFmtId="0" fontId="32" fillId="0" borderId="0" xfId="18" applyFont="1" applyAlignment="1"/>
    <xf numFmtId="0" fontId="32" fillId="0" borderId="0" xfId="18" applyNumberFormat="1" applyFont="1" applyAlignment="1" applyProtection="1">
      <protection locked="0"/>
    </xf>
    <xf numFmtId="0" fontId="30" fillId="0" borderId="0" xfId="18" applyFont="1" applyAlignment="1"/>
    <xf numFmtId="0" fontId="30" fillId="0" borderId="0" xfId="14" applyFont="1" applyAlignment="1"/>
    <xf numFmtId="0" fontId="32" fillId="0" borderId="0" xfId="14" applyFont="1" applyAlignment="1"/>
    <xf numFmtId="0" fontId="30" fillId="0" borderId="0" xfId="14" applyNumberFormat="1" applyFont="1" applyAlignment="1"/>
    <xf numFmtId="9" fontId="30" fillId="0" borderId="0" xfId="14" applyNumberFormat="1" applyFont="1" applyAlignment="1"/>
    <xf numFmtId="0" fontId="32" fillId="0" borderId="0" xfId="14" applyNumberFormat="1" applyFont="1" applyAlignment="1" applyProtection="1">
      <protection locked="0"/>
    </xf>
    <xf numFmtId="3" fontId="32" fillId="0" borderId="0" xfId="14" applyNumberFormat="1" applyFont="1" applyAlignment="1"/>
    <xf numFmtId="0" fontId="32" fillId="0" borderId="0" xfId="14" applyFont="1" applyBorder="1" applyAlignment="1"/>
    <xf numFmtId="0" fontId="32" fillId="0" borderId="0" xfId="14" applyFont="1" applyAlignment="1">
      <alignment horizontal="right"/>
    </xf>
    <xf numFmtId="3" fontId="32" fillId="0" borderId="0" xfId="14" applyNumberFormat="1" applyFont="1" applyAlignment="1">
      <alignment horizontal="left"/>
    </xf>
    <xf numFmtId="0" fontId="32" fillId="0" borderId="0" xfId="14" applyFont="1" applyAlignment="1">
      <alignment horizontal="center"/>
    </xf>
    <xf numFmtId="3" fontId="1" fillId="0" borderId="0" xfId="14" applyNumberFormat="1" applyFont="1" applyFill="1" applyAlignment="1" applyProtection="1">
      <alignment horizontal="right"/>
    </xf>
    <xf numFmtId="0" fontId="1" fillId="0" borderId="0" xfId="14" applyFont="1" applyFill="1" applyAlignment="1" applyProtection="1">
      <alignment horizontal="center"/>
    </xf>
    <xf numFmtId="186" fontId="1" fillId="0" borderId="0" xfId="14" applyNumberFormat="1" applyFont="1" applyFill="1" applyAlignment="1" applyProtection="1"/>
    <xf numFmtId="0" fontId="30" fillId="0" borderId="0" xfId="15" applyFont="1" applyAlignment="1"/>
    <xf numFmtId="0" fontId="32" fillId="0" borderId="0" xfId="15" applyFont="1" applyAlignment="1"/>
    <xf numFmtId="0" fontId="32" fillId="0" borderId="0" xfId="15" applyNumberFormat="1" applyFont="1" applyAlignment="1" applyProtection="1">
      <protection locked="0"/>
    </xf>
    <xf numFmtId="0" fontId="27" fillId="0" borderId="0" xfId="16" applyFont="1" applyAlignment="1">
      <alignment horizontal="right"/>
    </xf>
    <xf numFmtId="0" fontId="27" fillId="0" borderId="0" xfId="16" applyFont="1" applyBorder="1" applyAlignment="1"/>
    <xf numFmtId="0" fontId="8" fillId="0" borderId="0" xfId="0" applyNumberFormat="1" applyFont="1" applyAlignment="1" applyProtection="1">
      <protection locked="0"/>
    </xf>
    <xf numFmtId="0" fontId="25" fillId="0" borderId="0" xfId="0" applyNumberFormat="1" applyFont="1" applyAlignment="1" applyProtection="1">
      <protection locked="0"/>
    </xf>
    <xf numFmtId="0" fontId="9" fillId="0" borderId="0" xfId="0" applyNumberFormat="1" applyFont="1" applyAlignment="1" applyProtection="1">
      <protection locked="0"/>
    </xf>
    <xf numFmtId="0" fontId="25" fillId="0" borderId="0" xfId="17" applyFont="1" applyAlignment="1"/>
    <xf numFmtId="0" fontId="25" fillId="0" borderId="0" xfId="17" applyNumberFormat="1" applyFont="1" applyAlignment="1" applyProtection="1">
      <protection locked="0"/>
    </xf>
    <xf numFmtId="0" fontId="25" fillId="0" borderId="0" xfId="17" applyFont="1" applyBorder="1" applyAlignment="1"/>
    <xf numFmtId="176" fontId="9" fillId="0" borderId="0" xfId="0" applyFont="1" applyAlignment="1">
      <alignment horizontal="centerContinuous"/>
    </xf>
    <xf numFmtId="0" fontId="41" fillId="0" borderId="0" xfId="18" applyFont="1" applyAlignment="1">
      <alignment horizontal="center"/>
    </xf>
    <xf numFmtId="0" fontId="24" fillId="0" borderId="0" xfId="0" applyNumberFormat="1" applyFont="1" applyAlignment="1" applyProtection="1">
      <alignment horizontal="center"/>
      <protection locked="0"/>
    </xf>
    <xf numFmtId="0" fontId="30" fillId="0" borderId="0" xfId="18" applyFont="1" applyBorder="1" applyAlignment="1"/>
    <xf numFmtId="0" fontId="30" fillId="0" borderId="72" xfId="18" applyFont="1" applyBorder="1" applyAlignment="1"/>
    <xf numFmtId="0" fontId="30" fillId="0" borderId="73" xfId="18" applyFont="1" applyBorder="1" applyAlignment="1">
      <alignment vertical="center"/>
    </xf>
    <xf numFmtId="0" fontId="30" fillId="0" borderId="74" xfId="18" applyFont="1" applyBorder="1" applyAlignment="1">
      <alignment vertical="center"/>
    </xf>
    <xf numFmtId="0" fontId="32" fillId="0" borderId="75" xfId="0" applyNumberFormat="1" applyFont="1" applyBorder="1" applyAlignment="1" applyProtection="1">
      <alignment horizontal="distributed" vertical="center"/>
      <protection locked="0"/>
    </xf>
    <xf numFmtId="0" fontId="30" fillId="0" borderId="76" xfId="18" applyFont="1" applyBorder="1" applyAlignment="1">
      <alignment vertical="center"/>
    </xf>
    <xf numFmtId="0" fontId="30" fillId="0" borderId="4" xfId="18" applyFont="1" applyBorder="1" applyAlignment="1">
      <alignment vertical="center"/>
    </xf>
    <xf numFmtId="0" fontId="30" fillId="0" borderId="6" xfId="18" applyFont="1" applyBorder="1" applyAlignment="1">
      <alignment vertical="center"/>
    </xf>
    <xf numFmtId="3" fontId="30" fillId="0" borderId="77" xfId="18" applyNumberFormat="1" applyFont="1" applyBorder="1" applyAlignment="1"/>
    <xf numFmtId="0" fontId="30" fillId="0" borderId="55" xfId="18" applyFont="1" applyBorder="1" applyAlignment="1">
      <alignment horizontal="center"/>
    </xf>
    <xf numFmtId="0" fontId="30" fillId="0" borderId="55" xfId="18" applyFont="1" applyBorder="1" applyAlignment="1"/>
    <xf numFmtId="0" fontId="30" fillId="0" borderId="57" xfId="18" applyFont="1" applyBorder="1" applyAlignment="1"/>
    <xf numFmtId="3" fontId="30" fillId="0" borderId="78" xfId="18" applyNumberFormat="1" applyFont="1" applyBorder="1" applyAlignment="1"/>
    <xf numFmtId="3" fontId="30" fillId="0" borderId="0" xfId="18" applyNumberFormat="1" applyFont="1" applyBorder="1" applyAlignment="1"/>
    <xf numFmtId="0" fontId="30" fillId="0" borderId="6" xfId="18" applyFont="1" applyBorder="1" applyAlignment="1">
      <alignment horizontal="center" vertical="center"/>
    </xf>
    <xf numFmtId="0" fontId="30" fillId="0" borderId="79" xfId="18" applyFont="1" applyBorder="1" applyAlignment="1">
      <alignment horizontal="center" vertical="center"/>
    </xf>
    <xf numFmtId="0" fontId="30" fillId="0" borderId="0" xfId="14" applyFont="1" applyBorder="1" applyAlignment="1"/>
    <xf numFmtId="0" fontId="30" fillId="0" borderId="73" xfId="15" applyFont="1" applyBorder="1" applyAlignment="1">
      <alignment horizontal="distributed" vertical="center"/>
    </xf>
    <xf numFmtId="0" fontId="30" fillId="0" borderId="4" xfId="15" applyFont="1" applyBorder="1" applyAlignment="1">
      <alignment horizontal="distributed" vertical="center"/>
    </xf>
    <xf numFmtId="0" fontId="30" fillId="0" borderId="4" xfId="15" applyFont="1" applyBorder="1" applyAlignment="1">
      <alignment horizontal="distributed" vertical="center" wrapText="1"/>
    </xf>
    <xf numFmtId="0" fontId="30" fillId="0" borderId="0" xfId="15" applyFont="1" applyBorder="1" applyAlignment="1">
      <alignment vertical="center"/>
    </xf>
    <xf numFmtId="3" fontId="30" fillId="0" borderId="0" xfId="15" applyNumberFormat="1" applyFont="1" applyBorder="1" applyAlignment="1">
      <alignment vertical="center"/>
    </xf>
    <xf numFmtId="179" fontId="30" fillId="0" borderId="74" xfId="15" applyNumberFormat="1" applyFont="1" applyBorder="1" applyAlignment="1">
      <alignment vertical="center"/>
    </xf>
    <xf numFmtId="0" fontId="32" fillId="0" borderId="80" xfId="15" applyFont="1" applyBorder="1" applyAlignment="1">
      <alignment vertical="center"/>
    </xf>
    <xf numFmtId="0" fontId="30" fillId="0" borderId="79" xfId="15" applyFont="1" applyBorder="1" applyAlignment="1">
      <alignment vertical="center"/>
    </xf>
    <xf numFmtId="0" fontId="30" fillId="0" borderId="81" xfId="15" applyFont="1" applyBorder="1" applyAlignment="1">
      <alignment vertical="center"/>
    </xf>
    <xf numFmtId="0" fontId="44" fillId="0" borderId="0" xfId="16" applyFont="1" applyAlignment="1"/>
    <xf numFmtId="0" fontId="44" fillId="0" borderId="0" xfId="16" applyFont="1" applyBorder="1" applyAlignment="1"/>
    <xf numFmtId="0" fontId="44" fillId="0" borderId="0" xfId="16" applyNumberFormat="1" applyFont="1" applyAlignment="1" applyProtection="1">
      <protection locked="0"/>
    </xf>
    <xf numFmtId="0" fontId="45" fillId="0" borderId="0" xfId="16" applyFont="1" applyBorder="1" applyAlignment="1"/>
    <xf numFmtId="0" fontId="44" fillId="0" borderId="0" xfId="16" applyFont="1" applyBorder="1" applyAlignment="1">
      <alignment horizontal="center" vertical="center"/>
    </xf>
    <xf numFmtId="3" fontId="44" fillId="0" borderId="0" xfId="16" applyNumberFormat="1" applyFont="1" applyBorder="1" applyAlignment="1"/>
    <xf numFmtId="183" fontId="44" fillId="0" borderId="0" xfId="16" applyNumberFormat="1" applyFont="1" applyBorder="1" applyAlignment="1"/>
    <xf numFmtId="4" fontId="44" fillId="0" borderId="0" xfId="16" applyNumberFormat="1" applyFont="1" applyBorder="1" applyAlignment="1"/>
    <xf numFmtId="178" fontId="44" fillId="0" borderId="0" xfId="16" applyNumberFormat="1" applyFont="1" applyBorder="1" applyAlignment="1"/>
    <xf numFmtId="179" fontId="44" fillId="0" borderId="0" xfId="16" applyNumberFormat="1" applyFont="1" applyBorder="1" applyAlignment="1"/>
    <xf numFmtId="0" fontId="44" fillId="0" borderId="0" xfId="16" applyNumberFormat="1" applyFont="1" applyBorder="1" applyAlignment="1"/>
    <xf numFmtId="2" fontId="44" fillId="0" borderId="0" xfId="16" applyNumberFormat="1" applyFont="1" applyBorder="1" applyAlignment="1"/>
    <xf numFmtId="0" fontId="27" fillId="0" borderId="82" xfId="16" applyFont="1" applyBorder="1" applyAlignment="1">
      <alignment horizontal="distributed" vertical="center"/>
    </xf>
    <xf numFmtId="0" fontId="27" fillId="0" borderId="83" xfId="16" applyFont="1" applyBorder="1" applyAlignment="1">
      <alignment horizontal="distributed" vertical="center"/>
    </xf>
    <xf numFmtId="0" fontId="27" fillId="0" borderId="84" xfId="16" applyFont="1" applyBorder="1" applyAlignment="1">
      <alignment horizontal="distributed" vertical="center"/>
    </xf>
    <xf numFmtId="3" fontId="27" fillId="0" borderId="72" xfId="16" applyNumberFormat="1" applyFont="1" applyBorder="1" applyAlignment="1"/>
    <xf numFmtId="3" fontId="27" fillId="0" borderId="73" xfId="16" applyNumberFormat="1" applyFont="1" applyBorder="1" applyAlignment="1"/>
    <xf numFmtId="3" fontId="27" fillId="0" borderId="85" xfId="16" applyNumberFormat="1" applyFont="1" applyBorder="1" applyAlignment="1"/>
    <xf numFmtId="0" fontId="27" fillId="0" borderId="86" xfId="16" applyFont="1" applyBorder="1" applyAlignment="1">
      <alignment horizontal="distributed" vertical="center"/>
    </xf>
    <xf numFmtId="3" fontId="27" fillId="0" borderId="87" xfId="16" applyNumberFormat="1" applyFont="1" applyBorder="1" applyAlignment="1"/>
    <xf numFmtId="3" fontId="27" fillId="0" borderId="4" xfId="16" applyNumberFormat="1" applyFont="1" applyBorder="1" applyAlignment="1"/>
    <xf numFmtId="3" fontId="27" fillId="0" borderId="77" xfId="16" applyNumberFormat="1" applyFont="1" applyBorder="1" applyAlignment="1"/>
    <xf numFmtId="0" fontId="27" fillId="0" borderId="88" xfId="16" applyFont="1" applyBorder="1" applyAlignment="1">
      <alignment horizontal="distributed" vertical="center"/>
    </xf>
    <xf numFmtId="3" fontId="27" fillId="0" borderId="82" xfId="16" applyNumberFormat="1" applyFont="1" applyBorder="1" applyAlignment="1"/>
    <xf numFmtId="3" fontId="27" fillId="0" borderId="83" xfId="16" applyNumberFormat="1" applyFont="1" applyBorder="1" applyAlignment="1"/>
    <xf numFmtId="3" fontId="27" fillId="0" borderId="78" xfId="16" applyNumberFormat="1" applyFont="1" applyBorder="1" applyAlignment="1"/>
    <xf numFmtId="0" fontId="25" fillId="0" borderId="0" xfId="16" applyFont="1" applyBorder="1" applyAlignment="1">
      <alignment horizontal="distributed" vertical="center"/>
    </xf>
    <xf numFmtId="4" fontId="25" fillId="0" borderId="0" xfId="16" applyNumberFormat="1" applyFont="1" applyBorder="1" applyAlignment="1">
      <alignment vertical="center"/>
    </xf>
    <xf numFmtId="0" fontId="25" fillId="0" borderId="0" xfId="16" applyFont="1" applyBorder="1" applyAlignment="1">
      <alignment vertical="center"/>
    </xf>
    <xf numFmtId="0" fontId="32" fillId="0" borderId="0" xfId="14" applyFont="1" applyAlignment="1">
      <alignment horizontal="left"/>
    </xf>
    <xf numFmtId="0" fontId="28" fillId="0" borderId="0" xfId="14" applyNumberFormat="1" applyFont="1" applyAlignment="1" applyProtection="1">
      <alignment horizontal="right"/>
      <protection locked="0"/>
    </xf>
    <xf numFmtId="0" fontId="28" fillId="0" borderId="0" xfId="14" applyFont="1" applyAlignment="1">
      <alignment horizontal="left"/>
    </xf>
    <xf numFmtId="0" fontId="1" fillId="0" borderId="89" xfId="13" applyFont="1" applyBorder="1" applyAlignment="1"/>
    <xf numFmtId="0" fontId="1" fillId="0" borderId="90" xfId="13" applyFont="1" applyBorder="1" applyAlignment="1"/>
    <xf numFmtId="0" fontId="1" fillId="0" borderId="91" xfId="13" applyFont="1" applyBorder="1" applyAlignment="1"/>
    <xf numFmtId="0" fontId="1" fillId="0" borderId="92" xfId="13" applyFont="1" applyBorder="1" applyAlignment="1">
      <alignment vertical="center"/>
    </xf>
    <xf numFmtId="0" fontId="1" fillId="0" borderId="93" xfId="13" applyFont="1" applyBorder="1" applyAlignment="1">
      <alignment vertical="center"/>
    </xf>
    <xf numFmtId="0" fontId="47" fillId="0" borderId="94" xfId="13" applyFont="1" applyBorder="1" applyAlignment="1">
      <alignment vertical="center"/>
    </xf>
    <xf numFmtId="0" fontId="1" fillId="0" borderId="95" xfId="13" applyFont="1" applyBorder="1" applyAlignment="1">
      <alignment vertical="center"/>
    </xf>
    <xf numFmtId="0" fontId="11" fillId="0" borderId="96" xfId="13" applyFont="1" applyBorder="1" applyAlignment="1">
      <alignment horizontal="center"/>
    </xf>
    <xf numFmtId="38" fontId="1" fillId="0" borderId="0" xfId="10" applyFont="1" applyAlignment="1"/>
    <xf numFmtId="40" fontId="1" fillId="0" borderId="0" xfId="10" applyNumberFormat="1" applyFont="1" applyAlignment="1"/>
    <xf numFmtId="194" fontId="32" fillId="4" borderId="0" xfId="14" applyNumberFormat="1" applyFont="1" applyFill="1" applyAlignment="1"/>
    <xf numFmtId="0" fontId="7" fillId="10" borderId="97" xfId="0" applyNumberFormat="1" applyFont="1" applyFill="1" applyBorder="1" applyAlignment="1" applyProtection="1">
      <alignment horizontal="right"/>
      <protection locked="0"/>
    </xf>
    <xf numFmtId="0" fontId="7" fillId="10" borderId="97" xfId="0" applyNumberFormat="1" applyFont="1" applyFill="1" applyBorder="1" applyAlignment="1" applyProtection="1">
      <protection locked="0"/>
    </xf>
    <xf numFmtId="38" fontId="7" fillId="10" borderId="97" xfId="10" applyFont="1" applyFill="1" applyBorder="1" applyAlignment="1" applyProtection="1">
      <protection locked="0"/>
    </xf>
    <xf numFmtId="38" fontId="7" fillId="10" borderId="98" xfId="10" applyFont="1" applyFill="1" applyBorder="1" applyAlignment="1" applyProtection="1">
      <protection locked="0"/>
    </xf>
    <xf numFmtId="38" fontId="7" fillId="10" borderId="99" xfId="10" applyFont="1" applyFill="1" applyBorder="1" applyAlignment="1" applyProtection="1">
      <protection locked="0"/>
    </xf>
    <xf numFmtId="38" fontId="7" fillId="10" borderId="100" xfId="10" applyFont="1" applyFill="1" applyBorder="1" applyAlignment="1" applyProtection="1">
      <protection locked="0"/>
    </xf>
    <xf numFmtId="38" fontId="7" fillId="10" borderId="101" xfId="10" applyFont="1" applyFill="1" applyBorder="1" applyAlignment="1" applyProtection="1">
      <protection locked="0"/>
    </xf>
    <xf numFmtId="38" fontId="7" fillId="10" borderId="102" xfId="10" applyFont="1" applyFill="1" applyBorder="1" applyAlignment="1" applyProtection="1">
      <protection locked="0"/>
    </xf>
    <xf numFmtId="38" fontId="7" fillId="10" borderId="103" xfId="10" applyFont="1" applyFill="1" applyBorder="1" applyAlignment="1" applyProtection="1">
      <protection locked="0"/>
    </xf>
    <xf numFmtId="176" fontId="8" fillId="0" borderId="0" xfId="0" applyFont="1"/>
    <xf numFmtId="176" fontId="8" fillId="0" borderId="0" xfId="0" applyFont="1" applyAlignment="1">
      <alignment horizontal="left"/>
    </xf>
    <xf numFmtId="176" fontId="25" fillId="0" borderId="3" xfId="0" applyFont="1" applyBorder="1" applyAlignment="1">
      <alignment horizontal="center" vertical="center"/>
    </xf>
    <xf numFmtId="176" fontId="25" fillId="0" borderId="104" xfId="0" applyFont="1" applyBorder="1" applyAlignment="1">
      <alignment vertical="center"/>
    </xf>
    <xf numFmtId="176" fontId="25" fillId="0" borderId="49" xfId="0" applyFont="1" applyBorder="1" applyAlignment="1">
      <alignment vertical="center"/>
    </xf>
    <xf numFmtId="38" fontId="25" fillId="0" borderId="53" xfId="10" applyFont="1" applyBorder="1" applyAlignment="1">
      <alignment vertical="center"/>
    </xf>
    <xf numFmtId="176" fontId="25" fillId="0" borderId="105" xfId="0" applyFont="1" applyBorder="1" applyAlignment="1">
      <alignment vertical="center"/>
    </xf>
    <xf numFmtId="176" fontId="25" fillId="0" borderId="47" xfId="0" applyFont="1" applyBorder="1" applyAlignment="1">
      <alignment vertical="center"/>
    </xf>
    <xf numFmtId="176" fontId="25" fillId="0" borderId="54" xfId="0" applyFont="1" applyBorder="1" applyAlignment="1">
      <alignment vertical="center"/>
    </xf>
    <xf numFmtId="176" fontId="25" fillId="0" borderId="45" xfId="0" applyFont="1" applyBorder="1" applyAlignment="1">
      <alignment vertical="center"/>
    </xf>
    <xf numFmtId="38" fontId="25" fillId="0" borderId="3" xfId="10" applyFont="1" applyBorder="1" applyAlignment="1">
      <alignment vertical="center"/>
    </xf>
    <xf numFmtId="176" fontId="25" fillId="0" borderId="106" xfId="0" applyFont="1" applyBorder="1" applyAlignment="1">
      <alignment vertical="center"/>
    </xf>
    <xf numFmtId="38" fontId="25" fillId="0" borderId="106" xfId="0" applyNumberFormat="1" applyFont="1" applyBorder="1" applyAlignment="1">
      <alignment vertical="center"/>
    </xf>
    <xf numFmtId="38" fontId="25" fillId="0" borderId="49" xfId="0" applyNumberFormat="1" applyFont="1" applyBorder="1" applyAlignment="1">
      <alignment vertical="center"/>
    </xf>
    <xf numFmtId="176" fontId="25" fillId="0" borderId="0" xfId="0" applyFont="1" applyAlignment="1">
      <alignment vertical="center"/>
    </xf>
    <xf numFmtId="176" fontId="25" fillId="0" borderId="0" xfId="0" applyFont="1" applyFill="1" applyBorder="1" applyAlignment="1">
      <alignment vertical="center"/>
    </xf>
    <xf numFmtId="176" fontId="25" fillId="0" borderId="3" xfId="0" applyFont="1" applyBorder="1" applyAlignment="1">
      <alignment vertical="center"/>
    </xf>
    <xf numFmtId="176" fontId="25" fillId="0" borderId="107" xfId="0" applyFont="1" applyBorder="1" applyAlignment="1">
      <alignment vertical="center"/>
    </xf>
    <xf numFmtId="176" fontId="25" fillId="0" borderId="47" xfId="0" applyFont="1" applyBorder="1" applyAlignment="1">
      <alignment horizontal="center" vertical="center"/>
    </xf>
    <xf numFmtId="176" fontId="25" fillId="0" borderId="0" xfId="0" applyFont="1" applyBorder="1" applyAlignment="1">
      <alignment vertical="center"/>
    </xf>
    <xf numFmtId="38" fontId="25" fillId="0" borderId="0" xfId="0" applyNumberFormat="1" applyFont="1" applyBorder="1" applyAlignment="1">
      <alignment vertical="center"/>
    </xf>
    <xf numFmtId="38" fontId="25" fillId="0" borderId="3" xfId="0" applyNumberFormat="1" applyFont="1" applyBorder="1" applyAlignment="1">
      <alignment vertical="center"/>
    </xf>
    <xf numFmtId="176" fontId="25" fillId="0" borderId="3" xfId="0" applyFont="1" applyBorder="1" applyAlignment="1">
      <alignment horizontal="right" vertical="center"/>
    </xf>
    <xf numFmtId="187" fontId="25" fillId="0" borderId="3" xfId="0" applyNumberFormat="1" applyFont="1" applyBorder="1" applyAlignment="1">
      <alignment horizontal="right" vertical="center"/>
    </xf>
    <xf numFmtId="176" fontId="0" fillId="0" borderId="0" xfId="0" applyAlignment="1"/>
    <xf numFmtId="195" fontId="1" fillId="0" borderId="6" xfId="12" applyNumberFormat="1" applyFont="1" applyBorder="1" applyAlignment="1"/>
    <xf numFmtId="195" fontId="1" fillId="0" borderId="4" xfId="12" applyNumberFormat="1" applyFont="1" applyBorder="1" applyAlignment="1"/>
    <xf numFmtId="195" fontId="1" fillId="0" borderId="11" xfId="12" applyNumberFormat="1" applyFont="1" applyBorder="1" applyAlignment="1"/>
    <xf numFmtId="195" fontId="1" fillId="0" borderId="10" xfId="12" applyNumberFormat="1" applyFont="1" applyBorder="1" applyAlignment="1"/>
    <xf numFmtId="195" fontId="1" fillId="0" borderId="0" xfId="12" applyNumberFormat="1" applyFont="1" applyAlignment="1"/>
    <xf numFmtId="198" fontId="1" fillId="0" borderId="0" xfId="12" applyNumberFormat="1" applyFont="1" applyAlignment="1"/>
    <xf numFmtId="0" fontId="1" fillId="0" borderId="108" xfId="13" applyNumberFormat="1" applyFont="1" applyBorder="1" applyAlignment="1" applyProtection="1">
      <protection locked="0"/>
    </xf>
    <xf numFmtId="0" fontId="1" fillId="0" borderId="33" xfId="13" applyNumberFormat="1" applyFont="1" applyBorder="1" applyAlignment="1" applyProtection="1">
      <protection locked="0"/>
    </xf>
    <xf numFmtId="0" fontId="1" fillId="0" borderId="109" xfId="13" applyNumberFormat="1" applyFont="1" applyBorder="1" applyAlignment="1" applyProtection="1">
      <protection locked="0"/>
    </xf>
    <xf numFmtId="0" fontId="1" fillId="0" borderId="110" xfId="13" applyNumberFormat="1" applyFont="1" applyBorder="1" applyAlignment="1" applyProtection="1">
      <protection locked="0"/>
    </xf>
    <xf numFmtId="186" fontId="1" fillId="0" borderId="111" xfId="13" applyNumberFormat="1" applyFont="1" applyBorder="1" applyAlignment="1" applyProtection="1">
      <alignment horizontal="center"/>
      <protection locked="0"/>
    </xf>
    <xf numFmtId="186" fontId="1" fillId="0" borderId="36" xfId="13" applyNumberFormat="1" applyFont="1" applyBorder="1" applyAlignment="1" applyProtection="1">
      <alignment horizontal="center"/>
      <protection locked="0"/>
    </xf>
    <xf numFmtId="200" fontId="1" fillId="0" borderId="110" xfId="13" applyNumberFormat="1" applyFont="1" applyBorder="1" applyAlignment="1" applyProtection="1">
      <protection locked="0"/>
    </xf>
    <xf numFmtId="200" fontId="1" fillId="0" borderId="37" xfId="13" applyNumberFormat="1" applyFont="1" applyBorder="1" applyAlignment="1" applyProtection="1">
      <protection locked="0"/>
    </xf>
    <xf numFmtId="0" fontId="1" fillId="0" borderId="3" xfId="12" applyNumberFormat="1" applyFont="1" applyFill="1" applyBorder="1" applyAlignment="1" applyProtection="1">
      <protection locked="0"/>
    </xf>
    <xf numFmtId="0" fontId="1" fillId="0" borderId="3" xfId="12" applyNumberFormat="1" applyFont="1" applyBorder="1" applyAlignment="1"/>
    <xf numFmtId="195" fontId="1" fillId="0" borderId="24" xfId="12" applyNumberFormat="1" applyFont="1" applyBorder="1" applyAlignment="1"/>
    <xf numFmtId="0" fontId="30" fillId="0" borderId="112" xfId="15" applyFont="1" applyBorder="1" applyAlignment="1">
      <alignment vertical="center" textRotation="255"/>
    </xf>
    <xf numFmtId="0" fontId="30" fillId="0" borderId="113" xfId="15" applyFont="1" applyBorder="1" applyAlignment="1">
      <alignment vertical="center" textRotation="255"/>
    </xf>
    <xf numFmtId="0" fontId="30" fillId="0" borderId="114" xfId="15" applyFont="1" applyBorder="1" applyAlignment="1">
      <alignment vertical="center" textRotation="255"/>
    </xf>
    <xf numFmtId="0" fontId="8" fillId="0" borderId="0" xfId="14" applyFont="1" applyBorder="1" applyAlignment="1"/>
    <xf numFmtId="0" fontId="8" fillId="0" borderId="0" xfId="14" applyFont="1" applyAlignment="1">
      <alignment horizontal="right"/>
    </xf>
    <xf numFmtId="0" fontId="8" fillId="0" borderId="0" xfId="14" applyFont="1" applyAlignment="1">
      <alignment horizontal="center"/>
    </xf>
    <xf numFmtId="4" fontId="8" fillId="0" borderId="0" xfId="14" applyNumberFormat="1" applyFont="1" applyAlignment="1"/>
    <xf numFmtId="3" fontId="8" fillId="0" borderId="0" xfId="14" applyNumberFormat="1" applyFont="1" applyAlignment="1"/>
    <xf numFmtId="194" fontId="8" fillId="0" borderId="0" xfId="14" applyNumberFormat="1" applyFont="1" applyAlignment="1">
      <alignment horizontal="center"/>
    </xf>
    <xf numFmtId="0" fontId="8" fillId="0" borderId="0" xfId="14" applyNumberFormat="1" applyFont="1" applyAlignment="1"/>
    <xf numFmtId="0" fontId="1" fillId="0" borderId="0" xfId="14" applyNumberFormat="1" applyFont="1" applyFill="1" applyAlignment="1" applyProtection="1">
      <alignment horizontal="center"/>
    </xf>
    <xf numFmtId="9" fontId="1" fillId="0" borderId="0" xfId="14" applyNumberFormat="1" applyFont="1" applyFill="1" applyAlignment="1" applyProtection="1"/>
    <xf numFmtId="176" fontId="51" fillId="0" borderId="0" xfId="0" applyFont="1" applyAlignment="1">
      <alignment horizontal="centerContinuous"/>
    </xf>
    <xf numFmtId="176" fontId="0" fillId="0" borderId="0" xfId="0" applyAlignment="1">
      <alignment horizontal="centerContinuous"/>
    </xf>
    <xf numFmtId="176" fontId="0" fillId="0" borderId="0" xfId="0" applyAlignment="1">
      <alignment horizontal="right"/>
    </xf>
    <xf numFmtId="176" fontId="0" fillId="0" borderId="115" xfId="0" quotePrefix="1" applyNumberFormat="1" applyBorder="1" applyAlignment="1">
      <alignment horizontal="center"/>
    </xf>
    <xf numFmtId="176" fontId="0" fillId="0" borderId="116" xfId="0" quotePrefix="1" applyNumberFormat="1" applyBorder="1" applyAlignment="1">
      <alignment horizontal="center"/>
    </xf>
    <xf numFmtId="38" fontId="0" fillId="0" borderId="117" xfId="10" applyFont="1" applyBorder="1"/>
    <xf numFmtId="38" fontId="0" fillId="0" borderId="118" xfId="10" applyFont="1" applyBorder="1"/>
    <xf numFmtId="38" fontId="0" fillId="0" borderId="58" xfId="10" applyFont="1" applyBorder="1"/>
    <xf numFmtId="38" fontId="0" fillId="0" borderId="0" xfId="10" applyFont="1" applyBorder="1"/>
    <xf numFmtId="38" fontId="0" fillId="0" borderId="0" xfId="10" applyFont="1"/>
    <xf numFmtId="38" fontId="0" fillId="0" borderId="119" xfId="10" applyFont="1" applyBorder="1"/>
    <xf numFmtId="38" fontId="0" fillId="0" borderId="120" xfId="10" applyFont="1" applyBorder="1"/>
    <xf numFmtId="38" fontId="0" fillId="0" borderId="121" xfId="10" applyFont="1" applyBorder="1"/>
    <xf numFmtId="38" fontId="0" fillId="0" borderId="122" xfId="10" applyFont="1" applyBorder="1"/>
    <xf numFmtId="38" fontId="0" fillId="0" borderId="123" xfId="10" applyFont="1" applyBorder="1"/>
    <xf numFmtId="38" fontId="0" fillId="0" borderId="124" xfId="10" applyFont="1" applyBorder="1"/>
    <xf numFmtId="38" fontId="0" fillId="0" borderId="125" xfId="10" applyFont="1" applyBorder="1"/>
    <xf numFmtId="38" fontId="0" fillId="0" borderId="126" xfId="10" applyFont="1" applyBorder="1"/>
    <xf numFmtId="38" fontId="0" fillId="0" borderId="127" xfId="10" applyFont="1" applyBorder="1"/>
    <xf numFmtId="38" fontId="0" fillId="0" borderId="128" xfId="10" applyFont="1" applyBorder="1"/>
    <xf numFmtId="38" fontId="0" fillId="0" borderId="129" xfId="10" applyFont="1" applyBorder="1"/>
    <xf numFmtId="38" fontId="0" fillId="0" borderId="130" xfId="10" applyFont="1" applyBorder="1"/>
    <xf numFmtId="38" fontId="0" fillId="0" borderId="0" xfId="10" quotePrefix="1" applyFont="1" applyBorder="1" applyAlignment="1">
      <alignment horizontal="right"/>
    </xf>
    <xf numFmtId="176" fontId="0" fillId="0" borderId="131" xfId="0" applyBorder="1" applyAlignment="1">
      <alignment horizontal="center"/>
    </xf>
    <xf numFmtId="38" fontId="0" fillId="0" borderId="132" xfId="10" quotePrefix="1" applyFont="1" applyBorder="1" applyAlignment="1">
      <alignment horizontal="center"/>
    </xf>
    <xf numFmtId="38" fontId="0" fillId="0" borderId="133" xfId="10" quotePrefix="1" applyFont="1" applyBorder="1" applyAlignment="1">
      <alignment horizontal="center"/>
    </xf>
    <xf numFmtId="38" fontId="0" fillId="0" borderId="134" xfId="10" quotePrefix="1" applyFont="1" applyBorder="1" applyAlignment="1">
      <alignment horizontal="center"/>
    </xf>
    <xf numFmtId="38" fontId="0" fillId="0" borderId="135" xfId="10" quotePrefix="1" applyFont="1" applyBorder="1" applyAlignment="1">
      <alignment horizontal="center"/>
    </xf>
    <xf numFmtId="38" fontId="0" fillId="0" borderId="136" xfId="10" quotePrefix="1" applyFont="1" applyBorder="1" applyAlignment="1">
      <alignment horizontal="center"/>
    </xf>
    <xf numFmtId="38" fontId="0" fillId="0" borderId="137" xfId="10" quotePrefix="1" applyFont="1" applyBorder="1" applyAlignment="1">
      <alignment horizontal="center"/>
    </xf>
    <xf numFmtId="38" fontId="0" fillId="0" borderId="131" xfId="10" applyFont="1" applyBorder="1" applyAlignment="1">
      <alignment horizontal="center"/>
    </xf>
    <xf numFmtId="38" fontId="0" fillId="0" borderId="138" xfId="10" quotePrefix="1" applyFont="1" applyBorder="1" applyAlignment="1">
      <alignment horizontal="center"/>
    </xf>
    <xf numFmtId="38" fontId="0" fillId="0" borderId="139" xfId="10" quotePrefix="1" applyFont="1" applyBorder="1" applyAlignment="1">
      <alignment horizontal="center"/>
    </xf>
    <xf numFmtId="0" fontId="8" fillId="0" borderId="0" xfId="18" applyFont="1" applyBorder="1" applyAlignment="1"/>
    <xf numFmtId="0" fontId="8" fillId="0" borderId="0" xfId="18" applyFont="1" applyAlignment="1"/>
    <xf numFmtId="0" fontId="7" fillId="0" borderId="0" xfId="14" applyFont="1" applyFill="1" applyAlignment="1" applyProtection="1"/>
    <xf numFmtId="0" fontId="7" fillId="0" borderId="0" xfId="14" applyNumberFormat="1" applyFont="1" applyFill="1" applyAlignment="1" applyProtection="1"/>
    <xf numFmtId="0" fontId="43" fillId="0" borderId="0" xfId="14" applyNumberFormat="1" applyFont="1" applyAlignment="1" applyProtection="1">
      <protection locked="0"/>
    </xf>
    <xf numFmtId="0" fontId="25" fillId="0" borderId="140" xfId="16" applyFont="1" applyBorder="1" applyAlignment="1">
      <alignment horizontal="distributed" vertical="center"/>
    </xf>
    <xf numFmtId="0" fontId="25" fillId="0" borderId="141" xfId="16" applyFont="1" applyBorder="1" applyAlignment="1">
      <alignment horizontal="distributed" vertical="center"/>
    </xf>
    <xf numFmtId="0" fontId="40" fillId="0" borderId="142" xfId="0" applyNumberFormat="1" applyFont="1" applyBorder="1" applyAlignment="1" applyProtection="1">
      <alignment horizontal="center" vertical="center" wrapText="1"/>
      <protection locked="0"/>
    </xf>
    <xf numFmtId="0" fontId="46" fillId="0" borderId="143" xfId="0" applyNumberFormat="1" applyFont="1" applyBorder="1" applyAlignment="1" applyProtection="1">
      <alignment horizontal="center" vertical="center" wrapText="1"/>
      <protection locked="0"/>
    </xf>
    <xf numFmtId="0" fontId="46" fillId="0" borderId="144" xfId="0" applyNumberFormat="1" applyFont="1" applyBorder="1" applyAlignment="1" applyProtection="1">
      <alignment horizontal="center" vertical="center" wrapText="1"/>
      <protection locked="0"/>
    </xf>
    <xf numFmtId="0" fontId="8" fillId="0" borderId="0" xfId="17" applyNumberFormat="1" applyFont="1" applyAlignment="1" applyProtection="1">
      <protection locked="0"/>
    </xf>
    <xf numFmtId="0" fontId="8" fillId="0" borderId="0" xfId="17" applyFont="1" applyAlignment="1"/>
    <xf numFmtId="0" fontId="25" fillId="0" borderId="0" xfId="17" applyFont="1" applyAlignment="1">
      <alignment horizontal="right"/>
    </xf>
    <xf numFmtId="0" fontId="25" fillId="0" borderId="131" xfId="16" applyFont="1" applyBorder="1" applyAlignment="1">
      <alignment horizontal="distributed" vertical="center"/>
    </xf>
    <xf numFmtId="0" fontId="25" fillId="0" borderId="145" xfId="16" applyFont="1" applyBorder="1" applyAlignment="1">
      <alignment horizontal="distributed" vertical="center"/>
    </xf>
    <xf numFmtId="0" fontId="25" fillId="0" borderId="141" xfId="17" applyFont="1" applyBorder="1" applyAlignment="1">
      <alignment horizontal="distributed" vertical="center"/>
    </xf>
    <xf numFmtId="0" fontId="25" fillId="0" borderId="140" xfId="17" applyFont="1" applyBorder="1" applyAlignment="1">
      <alignment horizontal="distributed" vertical="center"/>
    </xf>
    <xf numFmtId="0" fontId="25" fillId="0" borderId="145" xfId="17" applyFont="1" applyBorder="1" applyAlignment="1">
      <alignment horizontal="distributed" vertical="center"/>
    </xf>
    <xf numFmtId="0" fontId="25" fillId="0" borderId="131" xfId="17" applyFont="1" applyBorder="1" applyAlignment="1">
      <alignment horizontal="distributed" vertical="center"/>
    </xf>
    <xf numFmtId="0" fontId="25" fillId="0" borderId="1" xfId="17" applyFont="1" applyBorder="1" applyAlignment="1">
      <alignment horizontal="distributed" vertical="center"/>
    </xf>
    <xf numFmtId="0" fontId="25" fillId="0" borderId="55" xfId="17" applyFont="1" applyBorder="1" applyAlignment="1">
      <alignment horizontal="distributed" vertical="center"/>
    </xf>
    <xf numFmtId="0" fontId="25" fillId="0" borderId="134" xfId="17" applyFont="1" applyBorder="1" applyAlignment="1">
      <alignment horizontal="distributed" vertical="center"/>
    </xf>
    <xf numFmtId="0" fontId="25" fillId="0" borderId="86" xfId="16" applyFont="1" applyBorder="1" applyAlignment="1">
      <alignment horizontal="distributed" vertical="center"/>
    </xf>
    <xf numFmtId="0" fontId="25" fillId="0" borderId="146" xfId="17" applyNumberFormat="1" applyFont="1" applyBorder="1" applyAlignment="1">
      <alignment horizontal="distributed" vertical="center"/>
    </xf>
    <xf numFmtId="0" fontId="25" fillId="0" borderId="86" xfId="17" applyFont="1" applyBorder="1" applyAlignment="1">
      <alignment horizontal="distributed" vertical="center"/>
    </xf>
    <xf numFmtId="0" fontId="25" fillId="0" borderId="87" xfId="17" applyFont="1" applyBorder="1" applyAlignment="1">
      <alignment horizontal="distributed" vertical="center"/>
    </xf>
    <xf numFmtId="0" fontId="25" fillId="0" borderId="88" xfId="16" applyFont="1" applyBorder="1" applyAlignment="1">
      <alignment horizontal="distributed" vertical="center"/>
    </xf>
    <xf numFmtId="0" fontId="25" fillId="0" borderId="146" xfId="17" applyFont="1" applyBorder="1" applyAlignment="1">
      <alignment horizontal="distributed" vertical="center"/>
    </xf>
    <xf numFmtId="0" fontId="58" fillId="0" borderId="0" xfId="17" applyFont="1" applyAlignment="1"/>
    <xf numFmtId="0" fontId="58" fillId="0" borderId="87" xfId="17" applyFont="1" applyBorder="1" applyAlignment="1">
      <alignment horizontal="distributed" vertical="center"/>
    </xf>
    <xf numFmtId="0" fontId="58" fillId="0" borderId="0" xfId="17" applyFont="1" applyBorder="1" applyAlignment="1"/>
    <xf numFmtId="0" fontId="58" fillId="0" borderId="86" xfId="17" applyFont="1" applyBorder="1" applyAlignment="1">
      <alignment horizontal="distributed" vertical="center"/>
    </xf>
    <xf numFmtId="0" fontId="58" fillId="0" borderId="0" xfId="17" applyNumberFormat="1" applyFont="1" applyAlignment="1" applyProtection="1">
      <protection locked="0"/>
    </xf>
    <xf numFmtId="0" fontId="58" fillId="0" borderId="146" xfId="17" applyFont="1" applyBorder="1" applyAlignment="1">
      <alignment horizontal="distributed" vertical="center"/>
    </xf>
    <xf numFmtId="0" fontId="58" fillId="0" borderId="88" xfId="17" applyFont="1" applyBorder="1" applyAlignment="1">
      <alignment horizontal="distributed" vertical="center"/>
    </xf>
    <xf numFmtId="0" fontId="58" fillId="0" borderId="82" xfId="17" applyFont="1" applyBorder="1" applyAlignment="1">
      <alignment horizontal="distributed" vertical="center"/>
    </xf>
    <xf numFmtId="0" fontId="58" fillId="0" borderId="0" xfId="17" applyFont="1" applyAlignment="1">
      <alignment horizontal="right"/>
    </xf>
    <xf numFmtId="0" fontId="58" fillId="0" borderId="141" xfId="17" applyFont="1" applyBorder="1" applyAlignment="1">
      <alignment horizontal="center" vertical="center"/>
    </xf>
    <xf numFmtId="0" fontId="58" fillId="0" borderId="140" xfId="17" applyFont="1" applyBorder="1" applyAlignment="1">
      <alignment horizontal="center" vertical="center"/>
    </xf>
    <xf numFmtId="0" fontId="58" fillId="0" borderId="145" xfId="17" applyFont="1" applyBorder="1" applyAlignment="1">
      <alignment horizontal="center" vertical="center"/>
    </xf>
    <xf numFmtId="0" fontId="58" fillId="0" borderId="72" xfId="17" applyFont="1" applyBorder="1" applyAlignment="1">
      <alignment horizontal="center" vertical="center"/>
    </xf>
    <xf numFmtId="0" fontId="58" fillId="0" borderId="87" xfId="17" applyFont="1" applyBorder="1" applyAlignment="1">
      <alignment horizontal="center" vertical="center"/>
    </xf>
    <xf numFmtId="0" fontId="58" fillId="0" borderId="82" xfId="17" applyFont="1" applyBorder="1" applyAlignment="1">
      <alignment horizontal="center" vertical="center"/>
    </xf>
    <xf numFmtId="0" fontId="58" fillId="0" borderId="0" xfId="17" applyNumberFormat="1" applyFont="1" applyBorder="1"/>
    <xf numFmtId="38" fontId="54" fillId="0" borderId="0" xfId="10" applyFont="1" applyAlignment="1">
      <alignment horizontal="left"/>
    </xf>
    <xf numFmtId="176" fontId="0" fillId="0" borderId="0" xfId="0" applyBorder="1" applyAlignment="1">
      <alignment horizontal="right"/>
    </xf>
    <xf numFmtId="0" fontId="33" fillId="0" borderId="0" xfId="14" applyFont="1" applyAlignment="1">
      <alignment wrapText="1"/>
    </xf>
    <xf numFmtId="196" fontId="8" fillId="0" borderId="0" xfId="14" applyNumberFormat="1" applyFont="1" applyAlignment="1">
      <alignment horizontal="left"/>
    </xf>
    <xf numFmtId="3" fontId="1" fillId="0" borderId="10" xfId="12" applyNumberFormat="1" applyFont="1" applyBorder="1" applyAlignment="1"/>
    <xf numFmtId="3" fontId="1" fillId="0" borderId="20" xfId="12" applyNumberFormat="1" applyFont="1" applyBorder="1" applyAlignment="1"/>
    <xf numFmtId="189" fontId="1" fillId="0" borderId="0" xfId="10" applyNumberFormat="1" applyFont="1" applyAlignment="1" applyProtection="1"/>
    <xf numFmtId="189" fontId="11" fillId="0" borderId="4" xfId="10" applyNumberFormat="1" applyFont="1" applyBorder="1" applyAlignment="1" applyProtection="1">
      <alignment horizontal="center"/>
    </xf>
    <xf numFmtId="189" fontId="11" fillId="0" borderId="4" xfId="10" applyNumberFormat="1" applyFont="1" applyBorder="1" applyAlignment="1" applyProtection="1">
      <alignment horizontal="distributed"/>
    </xf>
    <xf numFmtId="189" fontId="11" fillId="0" borderId="5" xfId="10" applyNumberFormat="1" applyFont="1" applyBorder="1" applyAlignment="1" applyProtection="1"/>
    <xf numFmtId="0" fontId="11" fillId="0" borderId="5" xfId="20" applyFont="1" applyBorder="1" applyAlignment="1" applyProtection="1">
      <alignment horizontal="center"/>
    </xf>
    <xf numFmtId="0" fontId="11" fillId="0" borderId="3" xfId="20" applyFont="1" applyBorder="1" applyAlignment="1" applyProtection="1"/>
    <xf numFmtId="0" fontId="63" fillId="0" borderId="0" xfId="0" applyNumberFormat="1" applyFont="1" applyAlignment="1" applyProtection="1">
      <protection locked="0"/>
    </xf>
    <xf numFmtId="38" fontId="0" fillId="0" borderId="147" xfId="10" applyFont="1" applyBorder="1"/>
    <xf numFmtId="38" fontId="0" fillId="0" borderId="148" xfId="10" applyFont="1" applyBorder="1"/>
    <xf numFmtId="38" fontId="0" fillId="0" borderId="149" xfId="10" applyFont="1" applyBorder="1"/>
    <xf numFmtId="189" fontId="25" fillId="0" borderId="45" xfId="10" applyNumberFormat="1" applyFont="1" applyBorder="1" applyAlignment="1">
      <alignment vertical="center"/>
    </xf>
    <xf numFmtId="0" fontId="30" fillId="0" borderId="79" xfId="14" applyFont="1" applyFill="1" applyBorder="1" applyAlignment="1">
      <alignment horizontal="center"/>
    </xf>
    <xf numFmtId="0" fontId="30" fillId="0" borderId="79" xfId="14" applyFont="1" applyFill="1" applyBorder="1" applyAlignment="1"/>
    <xf numFmtId="0" fontId="30" fillId="0" borderId="83" xfId="14" applyFont="1" applyFill="1" applyBorder="1" applyAlignment="1"/>
    <xf numFmtId="176" fontId="0" fillId="0" borderId="0" xfId="0" applyFill="1"/>
    <xf numFmtId="0" fontId="1" fillId="0" borderId="0" xfId="11" applyFont="1" applyAlignment="1"/>
    <xf numFmtId="0" fontId="1" fillId="0" borderId="0" xfId="11" applyNumberFormat="1" applyFont="1" applyAlignment="1" applyProtection="1">
      <protection locked="0"/>
    </xf>
    <xf numFmtId="0" fontId="64" fillId="0" borderId="0" xfId="11" applyFont="1" applyAlignment="1"/>
    <xf numFmtId="0" fontId="65" fillId="0" borderId="0" xfId="11" applyFont="1" applyAlignment="1"/>
    <xf numFmtId="0" fontId="11" fillId="0" borderId="0" xfId="11" applyFont="1" applyAlignment="1"/>
    <xf numFmtId="0" fontId="66" fillId="0" borderId="0" xfId="11" applyFont="1" applyAlignment="1"/>
    <xf numFmtId="0" fontId="67" fillId="0" borderId="8" xfId="11" applyFont="1" applyBorder="1" applyAlignment="1"/>
    <xf numFmtId="0" fontId="67" fillId="0" borderId="18" xfId="11" applyFont="1" applyBorder="1" applyAlignment="1"/>
    <xf numFmtId="0" fontId="67" fillId="0" borderId="9" xfId="11" applyFont="1" applyBorder="1" applyAlignment="1"/>
    <xf numFmtId="0" fontId="11" fillId="0" borderId="10" xfId="11" applyFont="1" applyBorder="1" applyAlignment="1"/>
    <xf numFmtId="0" fontId="67" fillId="0" borderId="11" xfId="11" applyFont="1" applyBorder="1" applyAlignment="1"/>
    <xf numFmtId="0" fontId="67" fillId="0" borderId="4" xfId="11" applyFont="1" applyBorder="1" applyAlignment="1"/>
    <xf numFmtId="0" fontId="67" fillId="0" borderId="6" xfId="11" applyFont="1" applyBorder="1" applyAlignment="1"/>
    <xf numFmtId="4" fontId="67" fillId="0" borderId="6" xfId="11" applyNumberFormat="1" applyFont="1" applyBorder="1" applyAlignment="1"/>
    <xf numFmtId="0" fontId="67" fillId="0" borderId="6" xfId="11" applyFont="1" applyBorder="1" applyAlignment="1">
      <alignment horizontal="center"/>
    </xf>
    <xf numFmtId="0" fontId="65" fillId="0" borderId="9" xfId="11" applyFont="1" applyBorder="1" applyAlignment="1"/>
    <xf numFmtId="4" fontId="65" fillId="0" borderId="9" xfId="11" applyNumberFormat="1" applyFont="1" applyBorder="1" applyAlignment="1"/>
    <xf numFmtId="0" fontId="68" fillId="0" borderId="0" xfId="11" applyFont="1" applyAlignment="1"/>
    <xf numFmtId="0" fontId="69" fillId="0" borderId="0" xfId="11" applyFont="1" applyAlignment="1"/>
    <xf numFmtId="4" fontId="69" fillId="0" borderId="0" xfId="11" applyNumberFormat="1" applyFont="1" applyAlignment="1"/>
    <xf numFmtId="176" fontId="67" fillId="0" borderId="6" xfId="11" applyNumberFormat="1" applyFont="1" applyBorder="1" applyAlignment="1"/>
    <xf numFmtId="0" fontId="70" fillId="0" borderId="9" xfId="11" applyFont="1" applyBorder="1" applyAlignment="1"/>
    <xf numFmtId="4" fontId="70" fillId="0" borderId="9" xfId="11" applyNumberFormat="1" applyFont="1" applyBorder="1" applyAlignment="1"/>
    <xf numFmtId="0" fontId="67" fillId="0" borderId="0" xfId="11" applyFont="1" applyAlignment="1"/>
    <xf numFmtId="3" fontId="67" fillId="0" borderId="0" xfId="11" applyNumberFormat="1" applyFont="1" applyAlignment="1"/>
    <xf numFmtId="4" fontId="67" fillId="0" borderId="0" xfId="11" applyNumberFormat="1" applyFont="1" applyAlignment="1"/>
    <xf numFmtId="177" fontId="66" fillId="0" borderId="0" xfId="11" applyNumberFormat="1" applyFont="1" applyAlignment="1" applyProtection="1">
      <protection hidden="1"/>
    </xf>
    <xf numFmtId="0" fontId="66" fillId="0" borderId="0" xfId="11" applyFont="1" applyAlignment="1">
      <alignment horizontal="right"/>
    </xf>
    <xf numFmtId="4" fontId="66" fillId="0" borderId="0" xfId="11" applyNumberFormat="1" applyFont="1" applyAlignment="1"/>
    <xf numFmtId="194" fontId="50" fillId="0" borderId="0" xfId="17" applyNumberFormat="1" applyFont="1" applyBorder="1" applyAlignment="1"/>
    <xf numFmtId="0" fontId="32" fillId="0" borderId="0" xfId="18" applyNumberFormat="1" applyFont="1" applyAlignment="1" applyProtection="1">
      <alignment horizontal="center"/>
      <protection locked="0"/>
    </xf>
    <xf numFmtId="0" fontId="8" fillId="0" borderId="0" xfId="17" applyNumberFormat="1" applyFont="1" applyBorder="1" applyAlignment="1" applyProtection="1">
      <protection locked="0"/>
    </xf>
    <xf numFmtId="0" fontId="8" fillId="0" borderId="0" xfId="17" applyFont="1" applyBorder="1" applyAlignment="1"/>
    <xf numFmtId="0" fontId="8" fillId="0" borderId="150" xfId="17" applyNumberFormat="1" applyFont="1" applyBorder="1" applyAlignment="1" applyProtection="1">
      <alignment horizontal="center" vertical="center"/>
      <protection locked="0"/>
    </xf>
    <xf numFmtId="0" fontId="8" fillId="0" borderId="151" xfId="17" applyNumberFormat="1" applyFont="1" applyBorder="1" applyAlignment="1" applyProtection="1">
      <alignment horizontal="center" vertical="center"/>
      <protection locked="0"/>
    </xf>
    <xf numFmtId="0" fontId="8" fillId="0" borderId="152" xfId="17" applyNumberFormat="1" applyFont="1" applyBorder="1" applyAlignment="1" applyProtection="1">
      <alignment horizontal="center" vertical="center"/>
      <protection locked="0"/>
    </xf>
    <xf numFmtId="0" fontId="8" fillId="0" borderId="153" xfId="17" applyNumberFormat="1" applyFont="1" applyBorder="1" applyAlignment="1" applyProtection="1">
      <alignment horizontal="center" vertical="center"/>
      <protection locked="0"/>
    </xf>
    <xf numFmtId="0" fontId="8" fillId="0" borderId="154" xfId="17" applyNumberFormat="1" applyFont="1" applyBorder="1" applyAlignment="1" applyProtection="1">
      <alignment horizontal="center" vertical="center"/>
      <protection locked="0"/>
    </xf>
    <xf numFmtId="0" fontId="8" fillId="0" borderId="155" xfId="17" applyNumberFormat="1" applyFont="1" applyBorder="1" applyAlignment="1" applyProtection="1">
      <alignment horizontal="center" vertical="center"/>
      <protection locked="0"/>
    </xf>
    <xf numFmtId="0" fontId="8" fillId="0" borderId="156" xfId="17" applyNumberFormat="1" applyFont="1" applyBorder="1" applyAlignment="1" applyProtection="1">
      <alignment horizontal="center" vertical="center"/>
      <protection locked="0"/>
    </xf>
    <xf numFmtId="0" fontId="8" fillId="0" borderId="157" xfId="17" applyNumberFormat="1" applyFont="1" applyBorder="1" applyAlignment="1" applyProtection="1">
      <alignment horizontal="center" vertical="center"/>
      <protection locked="0"/>
    </xf>
    <xf numFmtId="0" fontId="8" fillId="0" borderId="158" xfId="17" applyNumberFormat="1" applyFont="1" applyBorder="1" applyAlignment="1" applyProtection="1">
      <alignment horizontal="center" vertical="center"/>
      <protection locked="0"/>
    </xf>
    <xf numFmtId="0" fontId="8" fillId="0" borderId="55" xfId="17" applyNumberFormat="1" applyFont="1" applyBorder="1" applyAlignment="1" applyProtection="1">
      <protection locked="0"/>
    </xf>
    <xf numFmtId="0" fontId="8" fillId="0" borderId="42" xfId="17" applyNumberFormat="1" applyFont="1" applyBorder="1" applyAlignment="1" applyProtection="1">
      <alignment vertical="center"/>
      <protection locked="0"/>
    </xf>
    <xf numFmtId="0" fontId="8" fillId="0" borderId="43" xfId="17" applyNumberFormat="1" applyFont="1" applyBorder="1" applyAlignment="1" applyProtection="1">
      <alignment vertical="center"/>
      <protection locked="0"/>
    </xf>
    <xf numFmtId="0" fontId="8" fillId="0" borderId="159" xfId="17" applyNumberFormat="1" applyFont="1" applyBorder="1" applyAlignment="1" applyProtection="1">
      <alignment vertical="center"/>
      <protection locked="0"/>
    </xf>
    <xf numFmtId="0" fontId="8" fillId="0" borderId="44" xfId="17" applyNumberFormat="1" applyFont="1" applyBorder="1" applyAlignment="1" applyProtection="1">
      <alignment vertical="center"/>
      <protection locked="0"/>
    </xf>
    <xf numFmtId="0" fontId="8" fillId="0" borderId="45" xfId="17" applyNumberFormat="1" applyFont="1" applyBorder="1" applyAlignment="1" applyProtection="1">
      <alignment vertical="center"/>
      <protection locked="0"/>
    </xf>
    <xf numFmtId="0" fontId="8" fillId="0" borderId="2" xfId="17" applyNumberFormat="1" applyFont="1" applyBorder="1" applyAlignment="1" applyProtection="1">
      <alignment vertical="center"/>
      <protection locked="0"/>
    </xf>
    <xf numFmtId="0" fontId="8" fillId="0" borderId="0" xfId="17" applyNumberFormat="1" applyFont="1" applyBorder="1" applyAlignment="1" applyProtection="1">
      <alignment vertical="center"/>
      <protection locked="0"/>
    </xf>
    <xf numFmtId="0" fontId="8" fillId="0" borderId="55" xfId="17" applyNumberFormat="1" applyFont="1" applyBorder="1" applyAlignment="1" applyProtection="1">
      <alignment vertical="center"/>
      <protection locked="0"/>
    </xf>
    <xf numFmtId="0" fontId="8" fillId="0" borderId="160" xfId="17" applyNumberFormat="1" applyFont="1" applyBorder="1" applyAlignment="1" applyProtection="1">
      <alignment vertical="center"/>
      <protection locked="0"/>
    </xf>
    <xf numFmtId="0" fontId="8" fillId="0" borderId="161" xfId="17" applyNumberFormat="1" applyFont="1" applyBorder="1" applyAlignment="1" applyProtection="1">
      <alignment vertical="center"/>
      <protection locked="0"/>
    </xf>
    <xf numFmtId="0" fontId="8" fillId="0" borderId="162" xfId="17" applyNumberFormat="1" applyFont="1" applyBorder="1" applyAlignment="1" applyProtection="1">
      <alignment vertical="center"/>
      <protection locked="0"/>
    </xf>
    <xf numFmtId="0" fontId="8" fillId="0" borderId="0" xfId="17" applyNumberFormat="1" applyFont="1" applyAlignment="1" applyProtection="1">
      <alignment horizontal="right"/>
      <protection locked="0"/>
    </xf>
    <xf numFmtId="0" fontId="58" fillId="0" borderId="0" xfId="17" applyNumberFormat="1" applyFont="1" applyFill="1" applyBorder="1" applyAlignment="1" applyProtection="1">
      <protection locked="0"/>
    </xf>
    <xf numFmtId="0" fontId="58" fillId="0" borderId="0" xfId="17" applyFont="1" applyFill="1" applyBorder="1" applyAlignment="1"/>
    <xf numFmtId="0" fontId="58" fillId="0" borderId="0" xfId="17" applyFont="1" applyFill="1" applyBorder="1" applyAlignment="1">
      <alignment horizontal="right"/>
    </xf>
    <xf numFmtId="0" fontId="58" fillId="0" borderId="0" xfId="17" applyNumberFormat="1" applyFont="1" applyFill="1" applyBorder="1" applyAlignment="1" applyProtection="1">
      <alignment horizontal="distributed" vertical="center"/>
      <protection locked="0"/>
    </xf>
    <xf numFmtId="0" fontId="58" fillId="0" borderId="0" xfId="17" applyFont="1" applyFill="1" applyBorder="1" applyAlignment="1">
      <alignment horizontal="distributed" vertical="distributed"/>
    </xf>
    <xf numFmtId="3" fontId="58" fillId="0" borderId="0" xfId="17" applyNumberFormat="1" applyFont="1" applyFill="1" applyBorder="1" applyAlignment="1" applyProtection="1">
      <alignment vertical="center"/>
      <protection locked="0"/>
    </xf>
    <xf numFmtId="204" fontId="58" fillId="0" borderId="0" xfId="17" applyNumberFormat="1" applyFont="1" applyFill="1" applyBorder="1" applyAlignment="1" applyProtection="1">
      <alignment vertical="center"/>
      <protection locked="0"/>
    </xf>
    <xf numFmtId="205" fontId="58" fillId="0" borderId="0" xfId="17" applyNumberFormat="1" applyFont="1" applyFill="1" applyBorder="1" applyAlignment="1">
      <alignment horizontal="center" vertical="center"/>
    </xf>
    <xf numFmtId="38" fontId="58" fillId="0" borderId="0" xfId="10" applyFont="1" applyFill="1" applyBorder="1" applyAlignment="1">
      <alignment vertical="center"/>
    </xf>
    <xf numFmtId="0" fontId="58" fillId="0" borderId="0" xfId="17" applyFont="1" applyFill="1" applyBorder="1" applyAlignment="1">
      <alignment horizontal="distributed" vertical="center"/>
    </xf>
    <xf numFmtId="0" fontId="58" fillId="0" borderId="0" xfId="17" applyNumberFormat="1" applyFont="1" applyFill="1" applyBorder="1" applyAlignment="1" applyProtection="1">
      <alignment vertical="center"/>
      <protection locked="0"/>
    </xf>
    <xf numFmtId="0" fontId="8" fillId="0" borderId="0" xfId="17" applyNumberFormat="1" applyFont="1" applyFill="1" applyAlignment="1" applyProtection="1">
      <protection locked="0"/>
    </xf>
    <xf numFmtId="0" fontId="8" fillId="0" borderId="0" xfId="17" applyFont="1" applyFill="1" applyAlignment="1"/>
    <xf numFmtId="0" fontId="8" fillId="0" borderId="0" xfId="17" applyFont="1" applyFill="1" applyAlignment="1">
      <alignment horizontal="right"/>
    </xf>
    <xf numFmtId="0" fontId="8" fillId="0" borderId="163" xfId="17" applyNumberFormat="1" applyFont="1" applyFill="1" applyBorder="1" applyAlignment="1" applyProtection="1">
      <alignment horizontal="distributed" vertical="center"/>
      <protection locked="0"/>
    </xf>
    <xf numFmtId="0" fontId="8" fillId="0" borderId="164" xfId="17" applyNumberFormat="1" applyFont="1" applyFill="1" applyBorder="1" applyAlignment="1" applyProtection="1">
      <alignment horizontal="distributed" vertical="center"/>
      <protection locked="0"/>
    </xf>
    <xf numFmtId="0" fontId="8" fillId="0" borderId="165" xfId="17" applyFont="1" applyFill="1" applyBorder="1" applyAlignment="1">
      <alignment horizontal="distributed" vertical="distributed"/>
    </xf>
    <xf numFmtId="0" fontId="8" fillId="0" borderId="166" xfId="17" applyNumberFormat="1" applyFont="1" applyFill="1" applyBorder="1" applyAlignment="1" applyProtection="1">
      <alignment horizontal="distributed" vertical="center"/>
      <protection locked="0"/>
    </xf>
    <xf numFmtId="0" fontId="8" fillId="0" borderId="167" xfId="17" applyNumberFormat="1" applyFont="1" applyFill="1" applyBorder="1" applyAlignment="1" applyProtection="1">
      <alignment horizontal="distributed" vertical="center"/>
      <protection locked="0"/>
    </xf>
    <xf numFmtId="0" fontId="8" fillId="0" borderId="167" xfId="17" applyFont="1" applyFill="1" applyBorder="1" applyAlignment="1">
      <alignment horizontal="distributed" vertical="center"/>
    </xf>
    <xf numFmtId="0" fontId="8" fillId="0" borderId="168" xfId="17" applyNumberFormat="1" applyFont="1" applyFill="1" applyBorder="1" applyAlignment="1" applyProtection="1">
      <alignment horizontal="distributed" vertical="center"/>
      <protection locked="0"/>
    </xf>
    <xf numFmtId="0" fontId="8" fillId="0" borderId="118" xfId="17" applyNumberFormat="1" applyFont="1" applyFill="1" applyBorder="1" applyAlignment="1" applyProtection="1">
      <alignment horizontal="distributed" vertical="center"/>
      <protection locked="0"/>
    </xf>
    <xf numFmtId="0" fontId="72" fillId="0" borderId="0" xfId="11" applyNumberFormat="1" applyFont="1" applyAlignment="1" applyProtection="1">
      <protection locked="0"/>
    </xf>
    <xf numFmtId="0" fontId="11" fillId="0" borderId="54" xfId="11" applyNumberFormat="1" applyFont="1" applyBorder="1" applyAlignment="1" applyProtection="1">
      <alignment horizontal="center"/>
      <protection locked="0"/>
    </xf>
    <xf numFmtId="0" fontId="11" fillId="0" borderId="3" xfId="11" applyNumberFormat="1" applyFont="1" applyBorder="1" applyAlignment="1" applyProtection="1">
      <alignment horizontal="center"/>
      <protection locked="0"/>
    </xf>
    <xf numFmtId="0" fontId="15" fillId="0" borderId="0" xfId="11" applyNumberFormat="1" applyFont="1" applyBorder="1" applyAlignment="1" applyProtection="1">
      <protection locked="0"/>
    </xf>
    <xf numFmtId="40" fontId="15" fillId="0" borderId="0" xfId="10" applyNumberFormat="1" applyFont="1" applyBorder="1" applyAlignment="1">
      <alignment vertical="center"/>
    </xf>
    <xf numFmtId="0" fontId="15" fillId="0" borderId="0" xfId="11" applyNumberFormat="1" applyFont="1" applyBorder="1" applyAlignment="1" applyProtection="1">
      <alignment horizontal="right"/>
      <protection locked="0"/>
    </xf>
    <xf numFmtId="0" fontId="8" fillId="0" borderId="154" xfId="17" applyNumberFormat="1" applyFont="1" applyBorder="1" applyAlignment="1" applyProtection="1">
      <alignment vertical="center" wrapText="1"/>
      <protection locked="0"/>
    </xf>
    <xf numFmtId="0" fontId="8" fillId="0" borderId="169" xfId="17" applyNumberFormat="1" applyFont="1" applyBorder="1" applyAlignment="1" applyProtection="1">
      <alignment vertical="center"/>
      <protection locked="0"/>
    </xf>
    <xf numFmtId="0" fontId="8" fillId="0" borderId="155" xfId="17" applyNumberFormat="1" applyFont="1" applyBorder="1" applyAlignment="1" applyProtection="1">
      <alignment vertical="center"/>
      <protection locked="0"/>
    </xf>
    <xf numFmtId="0" fontId="8" fillId="0" borderId="170" xfId="17" applyNumberFormat="1" applyFont="1" applyBorder="1" applyAlignment="1" applyProtection="1">
      <alignment vertical="center"/>
      <protection locked="0"/>
    </xf>
    <xf numFmtId="0" fontId="8" fillId="0" borderId="171" xfId="17" applyNumberFormat="1" applyFont="1" applyBorder="1" applyAlignment="1" applyProtection="1">
      <alignment vertical="center" wrapText="1"/>
      <protection locked="0"/>
    </xf>
    <xf numFmtId="0" fontId="8" fillId="0" borderId="156" xfId="17" applyNumberFormat="1" applyFont="1" applyBorder="1" applyAlignment="1" applyProtection="1">
      <alignment vertical="center" wrapText="1"/>
      <protection locked="0"/>
    </xf>
    <xf numFmtId="0" fontId="8" fillId="0" borderId="158" xfId="17" applyNumberFormat="1" applyFont="1" applyBorder="1" applyAlignment="1" applyProtection="1">
      <alignment vertical="center"/>
      <protection locked="0"/>
    </xf>
    <xf numFmtId="0" fontId="8" fillId="0" borderId="0" xfId="17" applyNumberFormat="1" applyFont="1" applyAlignment="1" applyProtection="1">
      <alignment wrapText="1"/>
      <protection locked="0"/>
    </xf>
    <xf numFmtId="38" fontId="28" fillId="0" borderId="0" xfId="17" applyNumberFormat="1" applyFont="1" applyAlignment="1" applyProtection="1">
      <protection locked="0"/>
    </xf>
    <xf numFmtId="176" fontId="8" fillId="0" borderId="0" xfId="0" applyFont="1" applyAlignment="1">
      <alignment horizontal="centerContinuous"/>
    </xf>
    <xf numFmtId="176" fontId="8" fillId="0" borderId="59" xfId="0" applyFont="1" applyBorder="1"/>
    <xf numFmtId="176" fontId="8" fillId="0" borderId="0" xfId="0" applyFont="1" applyBorder="1"/>
    <xf numFmtId="176" fontId="8" fillId="0" borderId="56" xfId="0" applyFont="1" applyBorder="1"/>
    <xf numFmtId="176" fontId="8" fillId="0" borderId="0" xfId="0" applyFont="1" applyBorder="1" applyAlignment="1">
      <alignment vertical="center"/>
    </xf>
    <xf numFmtId="176" fontId="8" fillId="0" borderId="105" xfId="0" applyFont="1" applyBorder="1" applyAlignment="1">
      <alignment vertical="center"/>
    </xf>
    <xf numFmtId="0" fontId="1" fillId="0" borderId="172" xfId="13" applyFont="1" applyBorder="1" applyAlignment="1"/>
    <xf numFmtId="0" fontId="1" fillId="0" borderId="173" xfId="13" applyFont="1" applyBorder="1" applyAlignment="1"/>
    <xf numFmtId="0" fontId="1" fillId="0" borderId="174" xfId="13" applyFont="1" applyBorder="1" applyAlignment="1"/>
    <xf numFmtId="0" fontId="1" fillId="0" borderId="175" xfId="13" applyFont="1" applyBorder="1" applyAlignment="1"/>
    <xf numFmtId="0" fontId="1" fillId="0" borderId="176" xfId="13" applyFont="1" applyBorder="1" applyAlignment="1"/>
    <xf numFmtId="0" fontId="11" fillId="0" borderId="3" xfId="20" applyFont="1" applyBorder="1" applyAlignment="1" applyProtection="1">
      <alignment horizontal="center"/>
    </xf>
    <xf numFmtId="0" fontId="11" fillId="0" borderId="3" xfId="20" applyNumberFormat="1" applyFont="1" applyBorder="1" applyAlignment="1" applyProtection="1">
      <alignment horizontal="center"/>
    </xf>
    <xf numFmtId="0" fontId="11" fillId="0" borderId="0" xfId="20" quotePrefix="1" applyFont="1" applyAlignment="1" applyProtection="1"/>
    <xf numFmtId="0" fontId="11" fillId="0" borderId="3" xfId="20" applyFont="1" applyBorder="1" applyAlignment="1" applyProtection="1">
      <alignment shrinkToFit="1"/>
    </xf>
    <xf numFmtId="0" fontId="1" fillId="0" borderId="177" xfId="12" applyNumberFormat="1" applyFont="1" applyBorder="1" applyAlignment="1"/>
    <xf numFmtId="0" fontId="1" fillId="0" borderId="178" xfId="12" applyNumberFormat="1" applyFont="1" applyBorder="1" applyAlignment="1"/>
    <xf numFmtId="0" fontId="1" fillId="0" borderId="179" xfId="12" applyNumberFormat="1" applyFont="1" applyBorder="1" applyAlignment="1"/>
    <xf numFmtId="0" fontId="30" fillId="0" borderId="180" xfId="18" applyFont="1" applyBorder="1" applyAlignment="1">
      <alignment horizontal="center"/>
    </xf>
    <xf numFmtId="179" fontId="30" fillId="0" borderId="181" xfId="18" applyNumberFormat="1" applyFont="1" applyBorder="1" applyAlignment="1"/>
    <xf numFmtId="0" fontId="30" fillId="0" borderId="81" xfId="18" applyFont="1" applyBorder="1" applyAlignment="1">
      <alignment horizontal="center"/>
    </xf>
    <xf numFmtId="3" fontId="30" fillId="0" borderId="4" xfId="15" applyNumberFormat="1" applyFont="1" applyBorder="1" applyAlignment="1"/>
    <xf numFmtId="176" fontId="30" fillId="0" borderId="6" xfId="15" applyNumberFormat="1" applyFont="1" applyBorder="1" applyAlignment="1"/>
    <xf numFmtId="0" fontId="32" fillId="0" borderId="182" xfId="15" applyFont="1" applyBorder="1" applyAlignment="1"/>
    <xf numFmtId="3" fontId="30" fillId="0" borderId="83" xfId="15" applyNumberFormat="1" applyFont="1" applyBorder="1" applyAlignment="1"/>
    <xf numFmtId="176" fontId="30" fillId="0" borderId="79" xfId="15" applyNumberFormat="1" applyFont="1" applyBorder="1" applyAlignment="1"/>
    <xf numFmtId="0" fontId="32" fillId="0" borderId="81" xfId="15" applyFont="1" applyBorder="1" applyAlignment="1"/>
    <xf numFmtId="179" fontId="30" fillId="0" borderId="73" xfId="15" applyNumberFormat="1" applyFont="1" applyBorder="1" applyAlignment="1"/>
    <xf numFmtId="0" fontId="30" fillId="0" borderId="83" xfId="15" applyFont="1" applyBorder="1" applyAlignment="1"/>
    <xf numFmtId="4" fontId="25" fillId="0" borderId="73" xfId="16" applyNumberFormat="1" applyFont="1" applyBorder="1" applyAlignment="1">
      <alignment horizontal="center"/>
    </xf>
    <xf numFmtId="4" fontId="25" fillId="0" borderId="41" xfId="16" applyNumberFormat="1" applyFont="1" applyBorder="1" applyAlignment="1">
      <alignment horizontal="center"/>
    </xf>
    <xf numFmtId="4" fontId="25" fillId="0" borderId="181" xfId="16" applyNumberFormat="1" applyFont="1" applyBorder="1" applyAlignment="1">
      <alignment horizontal="center"/>
    </xf>
    <xf numFmtId="0" fontId="25" fillId="0" borderId="80" xfId="16" applyFont="1" applyBorder="1" applyAlignment="1"/>
    <xf numFmtId="0" fontId="25" fillId="0" borderId="183" xfId="16" applyFont="1" applyBorder="1" applyAlignment="1"/>
    <xf numFmtId="0" fontId="25" fillId="0" borderId="121" xfId="16" applyFont="1" applyBorder="1" applyAlignment="1"/>
    <xf numFmtId="3" fontId="46" fillId="0" borderId="184" xfId="0" applyNumberFormat="1" applyFont="1" applyBorder="1" applyAlignment="1" applyProtection="1">
      <protection locked="0"/>
    </xf>
    <xf numFmtId="2" fontId="46" fillId="0" borderId="185" xfId="0" applyNumberFormat="1" applyFont="1" applyBorder="1" applyAlignment="1" applyProtection="1">
      <protection locked="0"/>
    </xf>
    <xf numFmtId="3" fontId="46" fillId="0" borderId="186" xfId="0" applyNumberFormat="1" applyFont="1" applyBorder="1" applyAlignment="1" applyProtection="1">
      <protection locked="0"/>
    </xf>
    <xf numFmtId="3" fontId="25" fillId="0" borderId="72" xfId="16" applyNumberFormat="1" applyFont="1" applyBorder="1" applyAlignment="1"/>
    <xf numFmtId="4" fontId="25" fillId="0" borderId="73" xfId="16" applyNumberFormat="1" applyFont="1" applyBorder="1" applyAlignment="1"/>
    <xf numFmtId="4" fontId="25" fillId="0" borderId="85" xfId="16" applyNumberFormat="1" applyFont="1" applyBorder="1" applyAlignment="1"/>
    <xf numFmtId="179" fontId="25" fillId="0" borderId="4" xfId="16" applyNumberFormat="1" applyFont="1" applyBorder="1" applyAlignment="1"/>
    <xf numFmtId="179" fontId="25" fillId="0" borderId="77" xfId="16" applyNumberFormat="1" applyFont="1" applyBorder="1" applyAlignment="1"/>
    <xf numFmtId="179" fontId="25" fillId="0" borderId="87" xfId="16" applyNumberFormat="1" applyFont="1" applyBorder="1" applyAlignment="1"/>
    <xf numFmtId="4" fontId="25" fillId="0" borderId="4" xfId="16" applyNumberFormat="1" applyFont="1" applyBorder="1" applyAlignment="1"/>
    <xf numFmtId="4" fontId="25" fillId="0" borderId="77" xfId="16" applyNumberFormat="1" applyFont="1" applyBorder="1" applyAlignment="1"/>
    <xf numFmtId="179" fontId="25" fillId="0" borderId="83" xfId="16" applyNumberFormat="1" applyFont="1" applyBorder="1" applyAlignment="1"/>
    <xf numFmtId="179" fontId="25" fillId="0" borderId="78" xfId="16" applyNumberFormat="1" applyFont="1" applyBorder="1" applyAlignment="1"/>
    <xf numFmtId="3" fontId="25" fillId="0" borderId="55" xfId="17" applyNumberFormat="1" applyFont="1" applyBorder="1" applyAlignment="1"/>
    <xf numFmtId="184" fontId="25" fillId="0" borderId="5" xfId="17" applyNumberFormat="1" applyFont="1" applyBorder="1" applyAlignment="1"/>
    <xf numFmtId="184" fontId="25" fillId="0" borderId="187" xfId="17" applyNumberFormat="1" applyFont="1" applyBorder="1" applyAlignment="1"/>
    <xf numFmtId="193" fontId="25" fillId="0" borderId="146" xfId="17" applyNumberFormat="1" applyFont="1" applyBorder="1" applyAlignment="1"/>
    <xf numFmtId="179" fontId="25" fillId="0" borderId="17" xfId="17" applyNumberFormat="1" applyFont="1" applyBorder="1" applyAlignment="1"/>
    <xf numFmtId="179" fontId="25" fillId="0" borderId="188" xfId="17" applyNumberFormat="1" applyFont="1" applyBorder="1" applyAlignment="1"/>
    <xf numFmtId="3" fontId="25" fillId="0" borderId="87" xfId="17" applyNumberFormat="1" applyFont="1" applyBorder="1" applyAlignment="1"/>
    <xf numFmtId="185" fontId="25" fillId="0" borderId="4" xfId="17" applyNumberFormat="1" applyFont="1" applyBorder="1" applyAlignment="1"/>
    <xf numFmtId="185" fontId="25" fillId="0" borderId="77" xfId="17" applyNumberFormat="1" applyFont="1" applyBorder="1" applyAlignment="1"/>
    <xf numFmtId="3" fontId="58" fillId="0" borderId="87" xfId="17" applyNumberFormat="1" applyFont="1" applyBorder="1" applyAlignment="1"/>
    <xf numFmtId="185" fontId="58" fillId="0" borderId="4" xfId="17" applyNumberFormat="1" applyFont="1" applyBorder="1" applyAlignment="1"/>
    <xf numFmtId="185" fontId="58" fillId="0" borderId="77" xfId="17" applyNumberFormat="1" applyFont="1" applyBorder="1" applyAlignment="1"/>
    <xf numFmtId="193" fontId="58" fillId="0" borderId="146" xfId="17" applyNumberFormat="1" applyFont="1" applyBorder="1" applyAlignment="1"/>
    <xf numFmtId="179" fontId="58" fillId="0" borderId="17" xfId="17" applyNumberFormat="1" applyFont="1" applyBorder="1" applyAlignment="1"/>
    <xf numFmtId="179" fontId="58" fillId="0" borderId="188" xfId="17" applyNumberFormat="1" applyFont="1" applyBorder="1" applyAlignment="1"/>
    <xf numFmtId="3" fontId="58" fillId="0" borderId="4" xfId="17" applyNumberFormat="1" applyFont="1" applyBorder="1" applyAlignment="1"/>
    <xf numFmtId="3" fontId="58" fillId="0" borderId="77" xfId="17" applyNumberFormat="1" applyFont="1" applyBorder="1" applyAlignment="1"/>
    <xf numFmtId="4" fontId="58" fillId="0" borderId="87" xfId="17" applyNumberFormat="1" applyFont="1" applyBorder="1" applyAlignment="1"/>
    <xf numFmtId="4" fontId="58" fillId="0" borderId="4" xfId="17" applyNumberFormat="1" applyFont="1" applyBorder="1" applyAlignment="1"/>
    <xf numFmtId="4" fontId="58" fillId="0" borderId="77" xfId="17" applyNumberFormat="1" applyFont="1" applyBorder="1" applyAlignment="1"/>
    <xf numFmtId="0" fontId="58" fillId="0" borderId="82" xfId="17" applyNumberFormat="1" applyFont="1" applyBorder="1" applyAlignment="1"/>
    <xf numFmtId="0" fontId="58" fillId="0" borderId="83" xfId="17" applyNumberFormat="1" applyFont="1" applyBorder="1" applyAlignment="1"/>
    <xf numFmtId="3" fontId="58" fillId="0" borderId="83" xfId="17" applyNumberFormat="1" applyFont="1" applyBorder="1" applyAlignment="1"/>
    <xf numFmtId="3" fontId="58" fillId="0" borderId="78" xfId="17" applyNumberFormat="1" applyFont="1" applyBorder="1" applyAlignment="1"/>
    <xf numFmtId="4" fontId="25" fillId="0" borderId="72" xfId="17" applyNumberFormat="1" applyFont="1" applyBorder="1" applyAlignment="1"/>
    <xf numFmtId="4" fontId="25" fillId="0" borderId="73" xfId="17" applyNumberFormat="1" applyFont="1" applyBorder="1" applyAlignment="1"/>
    <xf numFmtId="3" fontId="25" fillId="0" borderId="73" xfId="17" applyNumberFormat="1" applyFont="1" applyBorder="1" applyAlignment="1"/>
    <xf numFmtId="193" fontId="25" fillId="0" borderId="85" xfId="17" applyNumberFormat="1" applyFont="1" applyBorder="1" applyAlignment="1"/>
    <xf numFmtId="4" fontId="25" fillId="0" borderId="87" xfId="17" applyNumberFormat="1" applyFont="1" applyBorder="1" applyAlignment="1"/>
    <xf numFmtId="4" fontId="25" fillId="0" borderId="4" xfId="17" applyNumberFormat="1" applyFont="1" applyBorder="1" applyAlignment="1"/>
    <xf numFmtId="3" fontId="25" fillId="0" borderId="4" xfId="17" applyNumberFormat="1" applyFont="1" applyBorder="1" applyAlignment="1"/>
    <xf numFmtId="193" fontId="25" fillId="0" borderId="77" xfId="17" applyNumberFormat="1" applyFont="1" applyBorder="1" applyAlignment="1"/>
    <xf numFmtId="193" fontId="58" fillId="0" borderId="77" xfId="17" applyNumberFormat="1" applyFont="1" applyBorder="1" applyAlignment="1">
      <alignment horizontal="right"/>
    </xf>
    <xf numFmtId="193" fontId="58" fillId="0" borderId="82" xfId="17" applyNumberFormat="1" applyFont="1" applyBorder="1" applyAlignment="1"/>
    <xf numFmtId="193" fontId="58" fillId="0" borderId="83" xfId="17" applyNumberFormat="1" applyFont="1" applyBorder="1" applyAlignment="1"/>
    <xf numFmtId="4" fontId="58" fillId="0" borderId="73" xfId="17" applyNumberFormat="1" applyFont="1" applyBorder="1" applyAlignment="1">
      <alignment horizontal="right"/>
    </xf>
    <xf numFmtId="4" fontId="58" fillId="0" borderId="85" xfId="17" applyNumberFormat="1" applyFont="1" applyBorder="1" applyAlignment="1">
      <alignment horizontal="right"/>
    </xf>
    <xf numFmtId="4" fontId="58" fillId="0" borderId="4" xfId="17" applyNumberFormat="1" applyFont="1" applyBorder="1" applyAlignment="1">
      <alignment horizontal="right"/>
    </xf>
    <xf numFmtId="4" fontId="58" fillId="0" borderId="77" xfId="17" applyNumberFormat="1" applyFont="1" applyBorder="1" applyAlignment="1">
      <alignment horizontal="right"/>
    </xf>
    <xf numFmtId="38" fontId="8" fillId="0" borderId="154" xfId="10" applyFont="1" applyBorder="1" applyAlignment="1">
      <alignment horizontal="right" shrinkToFit="1"/>
    </xf>
    <xf numFmtId="38" fontId="8" fillId="0" borderId="189" xfId="10" applyFont="1" applyBorder="1" applyAlignment="1">
      <alignment horizontal="right" shrinkToFit="1"/>
    </xf>
    <xf numFmtId="38" fontId="8" fillId="0" borderId="169" xfId="10" applyFont="1" applyBorder="1" applyAlignment="1">
      <alignment horizontal="right" shrinkToFit="1"/>
    </xf>
    <xf numFmtId="38" fontId="8" fillId="0" borderId="190" xfId="10" applyFont="1" applyBorder="1" applyAlignment="1">
      <alignment horizontal="right" shrinkToFit="1"/>
    </xf>
    <xf numFmtId="38" fontId="8" fillId="0" borderId="155" xfId="10" applyFont="1" applyBorder="1" applyAlignment="1">
      <alignment horizontal="right" shrinkToFit="1"/>
    </xf>
    <xf numFmtId="38" fontId="8" fillId="0" borderId="191" xfId="10" applyFont="1" applyBorder="1" applyAlignment="1">
      <alignment horizontal="right" shrinkToFit="1"/>
    </xf>
    <xf numFmtId="38" fontId="8" fillId="0" borderId="171" xfId="10" applyFont="1" applyBorder="1" applyAlignment="1">
      <alignment horizontal="right" shrinkToFit="1"/>
    </xf>
    <xf numFmtId="38" fontId="8" fillId="0" borderId="192" xfId="10" applyFont="1" applyBorder="1" applyAlignment="1">
      <alignment horizontal="right" shrinkToFit="1"/>
    </xf>
    <xf numFmtId="38" fontId="8" fillId="0" borderId="158" xfId="10" applyFont="1" applyBorder="1" applyAlignment="1">
      <alignment horizontal="right" shrinkToFit="1"/>
    </xf>
    <xf numFmtId="38" fontId="8" fillId="0" borderId="193" xfId="10" applyFont="1" applyBorder="1" applyAlignment="1">
      <alignment horizontal="right" shrinkToFit="1"/>
    </xf>
    <xf numFmtId="0" fontId="8" fillId="0" borderId="194" xfId="17" applyNumberFormat="1" applyFont="1" applyBorder="1" applyAlignment="1" applyProtection="1">
      <alignment horizontal="center" shrinkToFit="1"/>
      <protection locked="0"/>
    </xf>
    <xf numFmtId="0" fontId="30" fillId="0" borderId="74" xfId="15" applyFont="1" applyBorder="1" applyAlignment="1">
      <alignment horizontal="left"/>
    </xf>
    <xf numFmtId="179" fontId="30" fillId="0" borderId="79" xfId="15" applyNumberFormat="1" applyFont="1" applyBorder="1" applyAlignment="1">
      <alignment horizontal="left"/>
    </xf>
    <xf numFmtId="38" fontId="8" fillId="0" borderId="155" xfId="10" applyFont="1" applyBorder="1" applyAlignment="1" applyProtection="1">
      <alignment horizontal="right" shrinkToFit="1"/>
    </xf>
    <xf numFmtId="0" fontId="8" fillId="0" borderId="195" xfId="17" applyNumberFormat="1" applyFont="1" applyBorder="1" applyAlignment="1" applyProtection="1">
      <alignment horizontal="center" shrinkToFit="1"/>
    </xf>
    <xf numFmtId="38" fontId="8" fillId="0" borderId="156" xfId="10" applyFont="1" applyBorder="1" applyAlignment="1" applyProtection="1">
      <alignment horizontal="right" shrinkToFit="1"/>
    </xf>
    <xf numFmtId="38" fontId="8" fillId="0" borderId="196" xfId="17" applyNumberFormat="1" applyFont="1" applyBorder="1" applyAlignment="1" applyProtection="1">
      <alignment horizontal="right" shrinkToFit="1"/>
    </xf>
    <xf numFmtId="38" fontId="8" fillId="0" borderId="197" xfId="17" applyNumberFormat="1" applyFont="1" applyBorder="1" applyAlignment="1" applyProtection="1">
      <alignment horizontal="right" shrinkToFit="1"/>
    </xf>
    <xf numFmtId="38" fontId="8" fillId="0" borderId="198" xfId="17" applyNumberFormat="1" applyFont="1" applyBorder="1" applyAlignment="1" applyProtection="1">
      <alignment horizontal="center" shrinkToFit="1"/>
    </xf>
    <xf numFmtId="38" fontId="8" fillId="0" borderId="157" xfId="10" applyFont="1" applyBorder="1" applyAlignment="1" applyProtection="1">
      <alignment horizontal="right" shrinkToFit="1"/>
    </xf>
    <xf numFmtId="38" fontId="8" fillId="0" borderId="154" xfId="10" applyFont="1" applyBorder="1" applyAlignment="1" applyProtection="1">
      <alignment horizontal="right" shrinkToFit="1"/>
    </xf>
    <xf numFmtId="0" fontId="8" fillId="0" borderId="194" xfId="17" applyNumberFormat="1" applyFont="1" applyBorder="1" applyAlignment="1" applyProtection="1">
      <alignment horizontal="center" shrinkToFit="1"/>
    </xf>
    <xf numFmtId="38" fontId="8" fillId="0" borderId="158" xfId="10" applyFont="1" applyBorder="1" applyAlignment="1" applyProtection="1">
      <alignment horizontal="right" shrinkToFit="1"/>
    </xf>
    <xf numFmtId="38" fontId="8" fillId="0" borderId="199" xfId="17" applyNumberFormat="1" applyFont="1" applyBorder="1" applyAlignment="1" applyProtection="1">
      <alignment horizontal="right" shrinkToFit="1"/>
    </xf>
    <xf numFmtId="0" fontId="8" fillId="0" borderId="200" xfId="17" applyNumberFormat="1" applyFont="1" applyBorder="1" applyAlignment="1" applyProtection="1">
      <alignment horizontal="center" shrinkToFit="1"/>
    </xf>
    <xf numFmtId="38" fontId="8" fillId="0" borderId="201" xfId="17" applyNumberFormat="1" applyFont="1" applyBorder="1" applyAlignment="1" applyProtection="1">
      <alignment horizontal="right" shrinkToFit="1"/>
    </xf>
    <xf numFmtId="0" fontId="8" fillId="0" borderId="202" xfId="17" applyNumberFormat="1" applyFont="1" applyBorder="1" applyAlignment="1" applyProtection="1">
      <alignment horizontal="center" shrinkToFit="1"/>
    </xf>
    <xf numFmtId="38" fontId="8" fillId="0" borderId="203" xfId="17" applyNumberFormat="1" applyFont="1" applyBorder="1" applyAlignment="1" applyProtection="1">
      <alignment horizontal="right" shrinkToFit="1"/>
    </xf>
    <xf numFmtId="0" fontId="8" fillId="0" borderId="196" xfId="17" applyNumberFormat="1" applyFont="1" applyBorder="1" applyAlignment="1" applyProtection="1">
      <alignment horizontal="center" shrinkToFit="1"/>
    </xf>
    <xf numFmtId="204" fontId="8" fillId="0" borderId="204" xfId="17" applyNumberFormat="1" applyFont="1" applyFill="1" applyBorder="1" applyAlignment="1" applyProtection="1"/>
    <xf numFmtId="205" fontId="8" fillId="0" borderId="43" xfId="17" applyNumberFormat="1" applyFont="1" applyFill="1" applyBorder="1" applyAlignment="1" applyProtection="1">
      <alignment horizontal="center"/>
    </xf>
    <xf numFmtId="38" fontId="8" fillId="0" borderId="205" xfId="10" applyFont="1" applyFill="1" applyBorder="1" applyAlignment="1" applyProtection="1"/>
    <xf numFmtId="204" fontId="8" fillId="0" borderId="46" xfId="17" applyNumberFormat="1" applyFont="1" applyFill="1" applyBorder="1" applyAlignment="1" applyProtection="1"/>
    <xf numFmtId="205" fontId="8" fillId="0" borderId="45" xfId="17" applyNumberFormat="1" applyFont="1" applyFill="1" applyBorder="1" applyAlignment="1" applyProtection="1">
      <alignment horizontal="center"/>
    </xf>
    <xf numFmtId="38" fontId="8" fillId="0" borderId="206" xfId="10" applyFont="1" applyFill="1" applyBorder="1" applyAlignment="1" applyProtection="1"/>
    <xf numFmtId="204" fontId="8" fillId="0" borderId="207" xfId="17" applyNumberFormat="1" applyFont="1" applyFill="1" applyBorder="1" applyAlignment="1" applyProtection="1"/>
    <xf numFmtId="205" fontId="8" fillId="0" borderId="162" xfId="17" applyNumberFormat="1" applyFont="1" applyFill="1" applyBorder="1" applyAlignment="1" applyProtection="1">
      <alignment horizontal="center"/>
    </xf>
    <xf numFmtId="38" fontId="8" fillId="0" borderId="208" xfId="10" applyFont="1" applyFill="1" applyBorder="1" applyAlignment="1" applyProtection="1"/>
    <xf numFmtId="3" fontId="8" fillId="0" borderId="209" xfId="17" applyNumberFormat="1" applyFont="1" applyFill="1" applyBorder="1" applyAlignment="1" applyProtection="1"/>
    <xf numFmtId="0" fontId="8" fillId="0" borderId="210" xfId="17" applyNumberFormat="1" applyFont="1" applyFill="1" applyBorder="1" applyAlignment="1" applyProtection="1"/>
    <xf numFmtId="0" fontId="8" fillId="0" borderId="58" xfId="17" applyNumberFormat="1" applyFont="1" applyFill="1" applyBorder="1" applyAlignment="1" applyProtection="1"/>
    <xf numFmtId="0" fontId="73" fillId="0" borderId="0" xfId="11" applyNumberFormat="1" applyFont="1" applyAlignment="1" applyProtection="1"/>
    <xf numFmtId="189" fontId="11" fillId="0" borderId="4" xfId="10" applyNumberFormat="1" applyFont="1" applyBorder="1" applyAlignment="1" applyProtection="1">
      <alignment shrinkToFit="1"/>
    </xf>
    <xf numFmtId="189" fontId="11" fillId="0" borderId="7" xfId="10" applyNumberFormat="1" applyFont="1" applyBorder="1" applyAlignment="1" applyProtection="1">
      <alignment horizontal="center" shrinkToFit="1"/>
    </xf>
    <xf numFmtId="38" fontId="11" fillId="0" borderId="4" xfId="10" applyNumberFormat="1" applyFont="1" applyBorder="1" applyAlignment="1" applyProtection="1">
      <alignment shrinkToFit="1"/>
    </xf>
    <xf numFmtId="38" fontId="11" fillId="0" borderId="3" xfId="10" applyNumberFormat="1" applyFont="1" applyBorder="1" applyAlignment="1" applyProtection="1">
      <alignment shrinkToFit="1"/>
    </xf>
    <xf numFmtId="38" fontId="11" fillId="0" borderId="0" xfId="20" applyNumberFormat="1" applyFont="1" applyAlignment="1" applyProtection="1">
      <alignment shrinkToFit="1"/>
    </xf>
    <xf numFmtId="189" fontId="11" fillId="0" borderId="211" xfId="10" applyNumberFormat="1" applyFont="1" applyBorder="1" applyAlignment="1" applyProtection="1">
      <alignment shrinkToFit="1"/>
    </xf>
    <xf numFmtId="189" fontId="11" fillId="0" borderId="7" xfId="10" applyNumberFormat="1" applyFont="1" applyBorder="1" applyAlignment="1" applyProtection="1">
      <alignment shrinkToFit="1"/>
    </xf>
    <xf numFmtId="189" fontId="12" fillId="10" borderId="4" xfId="10" applyNumberFormat="1" applyFont="1" applyFill="1" applyBorder="1" applyAlignment="1" applyProtection="1">
      <alignment shrinkToFit="1"/>
      <protection locked="0"/>
    </xf>
    <xf numFmtId="203" fontId="12" fillId="10" borderId="3" xfId="20" applyNumberFormat="1" applyFont="1" applyFill="1" applyBorder="1" applyAlignment="1" applyProtection="1">
      <alignment shrinkToFit="1"/>
      <protection locked="0"/>
    </xf>
    <xf numFmtId="0" fontId="11" fillId="0" borderId="0" xfId="20" applyFont="1" applyAlignment="1" applyProtection="1">
      <alignment shrinkToFit="1"/>
    </xf>
    <xf numFmtId="189" fontId="11" fillId="0" borderId="3" xfId="10" applyNumberFormat="1" applyFont="1" applyBorder="1" applyAlignment="1" applyProtection="1">
      <alignment shrinkToFit="1"/>
    </xf>
    <xf numFmtId="0" fontId="11" fillId="0" borderId="6" xfId="20" applyFont="1" applyBorder="1" applyAlignment="1" applyProtection="1">
      <alignment shrinkToFit="1"/>
    </xf>
    <xf numFmtId="0" fontId="1" fillId="0" borderId="0" xfId="20" applyNumberFormat="1" applyFont="1" applyAlignment="1" applyProtection="1">
      <alignment shrinkToFit="1"/>
    </xf>
    <xf numFmtId="0" fontId="1" fillId="0" borderId="0" xfId="20" applyNumberFormat="1" applyFont="1" applyBorder="1" applyAlignment="1" applyProtection="1">
      <alignment shrinkToFit="1"/>
    </xf>
    <xf numFmtId="189" fontId="11" fillId="0" borderId="3" xfId="10" applyNumberFormat="1" applyFont="1" applyBorder="1" applyAlignment="1" applyProtection="1">
      <alignment horizontal="center" shrinkToFit="1"/>
      <protection locked="0"/>
    </xf>
    <xf numFmtId="4" fontId="15" fillId="0" borderId="3" xfId="10" applyNumberFormat="1" applyFont="1" applyBorder="1" applyAlignment="1" applyProtection="1"/>
    <xf numFmtId="4" fontId="15" fillId="0" borderId="3" xfId="10" applyNumberFormat="1" applyFont="1" applyBorder="1" applyAlignment="1" applyProtection="1">
      <alignment vertical="center"/>
    </xf>
    <xf numFmtId="0" fontId="1" fillId="0" borderId="3" xfId="20" applyNumberFormat="1" applyFont="1" applyBorder="1" applyAlignment="1" applyProtection="1"/>
    <xf numFmtId="0" fontId="11" fillId="0" borderId="3" xfId="20" applyNumberFormat="1" applyFont="1" applyBorder="1" applyAlignment="1" applyProtection="1"/>
    <xf numFmtId="0" fontId="11" fillId="0" borderId="0" xfId="20" applyFont="1" applyAlignment="1" applyProtection="1">
      <alignment horizontal="right"/>
    </xf>
    <xf numFmtId="0" fontId="8" fillId="0" borderId="0" xfId="18" applyFont="1" applyBorder="1" applyAlignment="1">
      <alignment horizontal="distributed" vertical="center"/>
    </xf>
    <xf numFmtId="0" fontId="8" fillId="0" borderId="0" xfId="18" applyFont="1" applyBorder="1" applyAlignment="1">
      <alignment vertical="center" wrapText="1"/>
    </xf>
    <xf numFmtId="0" fontId="8" fillId="0" borderId="0" xfId="0" applyNumberFormat="1" applyFont="1" applyBorder="1" applyAlignment="1" applyProtection="1">
      <alignment vertical="center"/>
      <protection locked="0"/>
    </xf>
    <xf numFmtId="3" fontId="8" fillId="0" borderId="0" xfId="17" applyNumberFormat="1" applyFont="1" applyAlignment="1"/>
    <xf numFmtId="0" fontId="8" fillId="0" borderId="0" xfId="18" applyFont="1" applyBorder="1" applyAlignment="1">
      <alignment horizontal="right" vertical="center"/>
    </xf>
    <xf numFmtId="38" fontId="8" fillId="0" borderId="0" xfId="10" applyFont="1" applyAlignment="1"/>
    <xf numFmtId="0" fontId="11" fillId="11" borderId="3" xfId="20" applyNumberFormat="1" applyFont="1" applyFill="1" applyBorder="1" applyAlignment="1" applyProtection="1">
      <alignment shrinkToFit="1"/>
      <protection locked="0"/>
    </xf>
    <xf numFmtId="193" fontId="11" fillId="0" borderId="3" xfId="20" applyNumberFormat="1" applyFont="1" applyBorder="1" applyAlignment="1" applyProtection="1">
      <alignment shrinkToFit="1"/>
    </xf>
    <xf numFmtId="0" fontId="11" fillId="0" borderId="3" xfId="20" applyNumberFormat="1" applyFont="1" applyBorder="1" applyAlignment="1" applyProtection="1">
      <alignment horizontal="center" shrinkToFit="1"/>
      <protection locked="0"/>
    </xf>
    <xf numFmtId="0" fontId="11" fillId="0" borderId="4" xfId="20" applyNumberFormat="1" applyFont="1" applyBorder="1" applyAlignment="1" applyProtection="1"/>
    <xf numFmtId="188" fontId="11" fillId="0" borderId="3" xfId="20" applyNumberFormat="1" applyFont="1" applyBorder="1" applyAlignment="1" applyProtection="1">
      <alignment horizontal="right" shrinkToFit="1"/>
    </xf>
    <xf numFmtId="38" fontId="11" fillId="0" borderId="3" xfId="10" applyFont="1" applyFill="1" applyBorder="1" applyAlignment="1" applyProtection="1">
      <protection locked="0"/>
    </xf>
    <xf numFmtId="3" fontId="30" fillId="0" borderId="77" xfId="18" applyNumberFormat="1" applyFont="1" applyFill="1" applyBorder="1" applyAlignment="1"/>
    <xf numFmtId="3" fontId="32" fillId="0" borderId="0" xfId="18" applyNumberFormat="1" applyFont="1" applyFill="1" applyAlignment="1"/>
    <xf numFmtId="3" fontId="30" fillId="0" borderId="0" xfId="18" applyNumberFormat="1" applyFont="1" applyFill="1" applyAlignment="1"/>
    <xf numFmtId="0" fontId="8" fillId="0" borderId="0" xfId="18" applyFont="1" applyFill="1" applyBorder="1" applyAlignment="1"/>
    <xf numFmtId="0" fontId="8" fillId="0" borderId="0" xfId="18" applyNumberFormat="1" applyFont="1" applyFill="1" applyAlignment="1" applyProtection="1">
      <protection locked="0"/>
    </xf>
    <xf numFmtId="3" fontId="30" fillId="0" borderId="83" xfId="14" applyNumberFormat="1" applyFont="1" applyFill="1" applyBorder="1" applyAlignment="1"/>
    <xf numFmtId="0" fontId="30" fillId="0" borderId="82" xfId="14" applyFont="1" applyFill="1" applyBorder="1" applyAlignment="1"/>
    <xf numFmtId="0" fontId="58" fillId="0" borderId="212" xfId="17" applyFont="1" applyFill="1" applyBorder="1" applyAlignment="1">
      <alignment horizontal="right" vertical="center"/>
    </xf>
    <xf numFmtId="207" fontId="58" fillId="0" borderId="74" xfId="17" applyNumberFormat="1" applyFont="1" applyFill="1" applyBorder="1" applyAlignment="1">
      <alignment horizontal="left" vertical="center"/>
    </xf>
    <xf numFmtId="208" fontId="58" fillId="0" borderId="213" xfId="17" applyNumberFormat="1" applyFont="1" applyFill="1" applyBorder="1" applyAlignment="1">
      <alignment vertical="center"/>
    </xf>
    <xf numFmtId="207" fontId="58" fillId="0" borderId="214" xfId="17" applyNumberFormat="1" applyFont="1" applyFill="1" applyBorder="1" applyAlignment="1">
      <alignment horizontal="left" vertical="center"/>
    </xf>
    <xf numFmtId="4" fontId="58" fillId="0" borderId="83" xfId="17" applyNumberFormat="1" applyFont="1" applyFill="1" applyBorder="1" applyAlignment="1">
      <alignment horizontal="right"/>
    </xf>
    <xf numFmtId="4" fontId="58" fillId="0" borderId="78" xfId="17" applyNumberFormat="1" applyFont="1" applyFill="1" applyBorder="1" applyAlignment="1">
      <alignment horizontal="right"/>
    </xf>
    <xf numFmtId="176" fontId="51" fillId="0" borderId="0" xfId="0" applyFont="1" applyFill="1" applyAlignment="1">
      <alignment horizontal="centerContinuous"/>
    </xf>
    <xf numFmtId="176" fontId="0" fillId="0" borderId="0" xfId="0" applyFill="1" applyAlignment="1">
      <alignment horizontal="centerContinuous"/>
    </xf>
    <xf numFmtId="176" fontId="0" fillId="0" borderId="0" xfId="0" applyFill="1" applyAlignment="1">
      <alignment horizontal="center"/>
    </xf>
    <xf numFmtId="176" fontId="0" fillId="0" borderId="0" xfId="0" applyFill="1" applyAlignment="1"/>
    <xf numFmtId="176" fontId="0" fillId="0" borderId="0" xfId="0" applyFill="1" applyAlignment="1">
      <alignment horizontal="right"/>
    </xf>
    <xf numFmtId="0" fontId="11" fillId="0" borderId="0" xfId="13" applyNumberFormat="1" applyFont="1" applyFill="1" applyAlignment="1" applyProtection="1">
      <alignment horizontal="left"/>
      <protection locked="0"/>
    </xf>
    <xf numFmtId="0" fontId="1" fillId="0" borderId="0" xfId="13" applyNumberFormat="1" applyFont="1" applyFill="1" applyAlignment="1" applyProtection="1">
      <protection locked="0"/>
    </xf>
    <xf numFmtId="0" fontId="1" fillId="0" borderId="0" xfId="13" applyFont="1" applyFill="1" applyAlignment="1"/>
    <xf numFmtId="0" fontId="1" fillId="0" borderId="109" xfId="13" applyNumberFormat="1" applyFont="1" applyFill="1" applyBorder="1" applyAlignment="1" applyProtection="1">
      <protection locked="0"/>
    </xf>
    <xf numFmtId="0" fontId="1" fillId="0" borderId="110" xfId="13" applyNumberFormat="1" applyFont="1" applyFill="1" applyBorder="1" applyAlignment="1" applyProtection="1">
      <protection locked="0"/>
    </xf>
    <xf numFmtId="0" fontId="1" fillId="0" borderId="0" xfId="13" applyNumberFormat="1" applyFont="1" applyFill="1" applyAlignment="1" applyProtection="1">
      <alignment horizontal="left"/>
      <protection locked="0"/>
    </xf>
    <xf numFmtId="0" fontId="1" fillId="0" borderId="108" xfId="13" applyNumberFormat="1" applyFont="1" applyFill="1" applyBorder="1" applyAlignment="1" applyProtection="1">
      <protection locked="0"/>
    </xf>
    <xf numFmtId="0" fontId="1" fillId="0" borderId="33" xfId="13" applyNumberFormat="1" applyFont="1" applyFill="1" applyBorder="1" applyAlignment="1" applyProtection="1">
      <protection locked="0"/>
    </xf>
    <xf numFmtId="0" fontId="1" fillId="0" borderId="34" xfId="13" applyNumberFormat="1" applyFont="1" applyFill="1" applyBorder="1" applyAlignment="1" applyProtection="1">
      <protection locked="0"/>
    </xf>
    <xf numFmtId="0" fontId="1" fillId="0" borderId="35" xfId="13" applyNumberFormat="1" applyFont="1" applyFill="1" applyBorder="1" applyAlignment="1" applyProtection="1">
      <protection locked="0"/>
    </xf>
    <xf numFmtId="0" fontId="11" fillId="0" borderId="0" xfId="13" applyFont="1" applyFill="1" applyAlignment="1"/>
    <xf numFmtId="0" fontId="1" fillId="0" borderId="109" xfId="13" applyFont="1" applyFill="1" applyBorder="1" applyAlignment="1">
      <alignment vertical="top" wrapText="1"/>
    </xf>
    <xf numFmtId="0" fontId="1" fillId="0" borderId="215" xfId="13" applyFont="1" applyFill="1" applyBorder="1" applyAlignment="1"/>
    <xf numFmtId="0" fontId="1" fillId="0" borderId="216" xfId="13" applyFont="1" applyFill="1" applyBorder="1" applyAlignment="1">
      <alignment vertical="top" wrapText="1"/>
    </xf>
    <xf numFmtId="0" fontId="1" fillId="0" borderId="217" xfId="13" applyFont="1" applyFill="1" applyBorder="1" applyAlignment="1">
      <alignment vertical="center" wrapText="1"/>
    </xf>
    <xf numFmtId="0" fontId="1" fillId="0" borderId="218" xfId="13" applyFont="1" applyFill="1" applyBorder="1" applyAlignment="1">
      <alignment vertical="center" wrapText="1"/>
    </xf>
    <xf numFmtId="182" fontId="8" fillId="0" borderId="0" xfId="16" applyNumberFormat="1" applyFont="1" applyAlignment="1"/>
    <xf numFmtId="2" fontId="8" fillId="0" borderId="0" xfId="16" applyNumberFormat="1" applyFont="1" applyAlignment="1"/>
    <xf numFmtId="183" fontId="8" fillId="0" borderId="0" xfId="16" applyNumberFormat="1" applyFont="1" applyAlignment="1"/>
    <xf numFmtId="40" fontId="8" fillId="0" borderId="0" xfId="10" applyNumberFormat="1" applyFont="1" applyAlignment="1"/>
    <xf numFmtId="0" fontId="8" fillId="0" borderId="0" xfId="17" applyFont="1" applyBorder="1" applyAlignment="1">
      <alignment horizontal="center"/>
    </xf>
    <xf numFmtId="9" fontId="1" fillId="0" borderId="0" xfId="14" applyNumberFormat="1" applyFont="1" applyFill="1" applyAlignment="1" applyProtection="1">
      <alignment horizontal="right"/>
    </xf>
    <xf numFmtId="0" fontId="1" fillId="0" borderId="0" xfId="14" applyFont="1" applyFill="1" applyAlignment="1" applyProtection="1">
      <alignment horizontal="right"/>
    </xf>
    <xf numFmtId="0" fontId="8" fillId="0" borderId="0" xfId="17" applyFont="1" applyAlignment="1">
      <alignment horizontal="right"/>
    </xf>
    <xf numFmtId="0" fontId="8" fillId="0" borderId="0" xfId="17" applyFont="1" applyBorder="1" applyAlignment="1">
      <alignment horizontal="right"/>
    </xf>
    <xf numFmtId="0" fontId="8" fillId="0" borderId="0" xfId="16" applyFont="1" applyAlignment="1">
      <alignment horizontal="right"/>
    </xf>
    <xf numFmtId="0" fontId="27" fillId="0" borderId="219" xfId="16" applyFont="1" applyBorder="1" applyAlignment="1">
      <alignment horizontal="distributed" vertical="center"/>
    </xf>
    <xf numFmtId="0" fontId="27" fillId="0" borderId="220" xfId="16" applyFont="1" applyBorder="1" applyAlignment="1">
      <alignment horizontal="distributed" vertical="center"/>
    </xf>
    <xf numFmtId="0" fontId="15" fillId="0" borderId="111" xfId="11" applyNumberFormat="1" applyFont="1" applyBorder="1" applyAlignment="1" applyProtection="1">
      <alignment horizontal="center"/>
      <protection locked="0"/>
    </xf>
    <xf numFmtId="0" fontId="15" fillId="0" borderId="217" xfId="11" applyNumberFormat="1" applyFont="1" applyBorder="1" applyAlignment="1" applyProtection="1">
      <alignment horizontal="center"/>
      <protection locked="0"/>
    </xf>
    <xf numFmtId="0" fontId="15" fillId="0" borderId="32" xfId="11" applyNumberFormat="1" applyFont="1" applyBorder="1" applyAlignment="1" applyProtection="1">
      <protection locked="0"/>
    </xf>
    <xf numFmtId="0" fontId="15" fillId="0" borderId="36" xfId="11" applyNumberFormat="1" applyFont="1" applyBorder="1" applyAlignment="1" applyProtection="1">
      <protection locked="0"/>
    </xf>
    <xf numFmtId="4" fontId="15" fillId="0" borderId="221" xfId="10" applyNumberFormat="1" applyFont="1" applyBorder="1" applyAlignment="1" applyProtection="1">
      <alignment vertical="center"/>
    </xf>
    <xf numFmtId="0" fontId="71" fillId="0" borderId="222" xfId="11" applyNumberFormat="1" applyFont="1" applyBorder="1" applyAlignment="1" applyProtection="1">
      <alignment horizontal="center" wrapText="1"/>
      <protection locked="0"/>
    </xf>
    <xf numFmtId="0" fontId="1" fillId="0" borderId="223" xfId="11" applyNumberFormat="1" applyFont="1" applyBorder="1" applyAlignment="1" applyProtection="1">
      <alignment horizontal="center"/>
      <protection locked="0"/>
    </xf>
    <xf numFmtId="0" fontId="1" fillId="0" borderId="224" xfId="11" applyNumberFormat="1" applyFont="1" applyBorder="1" applyAlignment="1" applyProtection="1">
      <alignment horizontal="center"/>
      <protection locked="0"/>
    </xf>
    <xf numFmtId="0" fontId="11" fillId="0" borderId="30" xfId="11" applyNumberFormat="1" applyFont="1" applyBorder="1" applyAlignment="1" applyProtection="1">
      <alignment horizontal="center"/>
      <protection locked="0"/>
    </xf>
    <xf numFmtId="0" fontId="11" fillId="0" borderId="225" xfId="11" applyNumberFormat="1" applyFont="1" applyBorder="1" applyAlignment="1" applyProtection="1">
      <alignment horizontal="center"/>
      <protection locked="0"/>
    </xf>
    <xf numFmtId="0" fontId="11" fillId="0" borderId="32" xfId="11" applyNumberFormat="1" applyFont="1" applyBorder="1" applyAlignment="1" applyProtection="1">
      <alignment horizontal="center"/>
      <protection locked="0"/>
    </xf>
    <xf numFmtId="0" fontId="11" fillId="0" borderId="226" xfId="11" applyNumberFormat="1" applyFont="1" applyBorder="1" applyAlignment="1" applyProtection="1">
      <alignment horizontal="center"/>
      <protection locked="0"/>
    </xf>
    <xf numFmtId="0" fontId="11" fillId="0" borderId="36" xfId="11" applyNumberFormat="1" applyFont="1" applyBorder="1" applyAlignment="1" applyProtection="1">
      <alignment horizontal="center"/>
      <protection locked="0"/>
    </xf>
    <xf numFmtId="0" fontId="11" fillId="0" borderId="227" xfId="11" applyNumberFormat="1" applyFont="1" applyBorder="1" applyAlignment="1" applyProtection="1">
      <alignment horizontal="center"/>
      <protection locked="0"/>
    </xf>
    <xf numFmtId="0" fontId="11" fillId="0" borderId="228" xfId="11" applyNumberFormat="1" applyFont="1" applyBorder="1" applyAlignment="1" applyProtection="1">
      <alignment horizontal="center"/>
      <protection locked="0"/>
    </xf>
    <xf numFmtId="38" fontId="7" fillId="10" borderId="229" xfId="10" applyFont="1" applyFill="1" applyBorder="1" applyAlignment="1" applyProtection="1">
      <protection locked="0"/>
    </xf>
    <xf numFmtId="0" fontId="1" fillId="0" borderId="0" xfId="11" applyNumberFormat="1" applyFont="1" applyAlignment="1" applyProtection="1">
      <alignment horizontal="left"/>
      <protection locked="0"/>
    </xf>
    <xf numFmtId="0" fontId="1" fillId="0" borderId="0" xfId="11" applyNumberFormat="1" applyFont="1" applyFill="1" applyAlignment="1" applyProtection="1">
      <alignment horizontal="left"/>
    </xf>
    <xf numFmtId="176" fontId="27" fillId="0" borderId="0" xfId="0" applyFont="1" applyBorder="1" applyAlignment="1" applyProtection="1">
      <alignment horizontal="center" vertical="center"/>
    </xf>
    <xf numFmtId="9" fontId="67" fillId="0" borderId="6" xfId="11" applyNumberFormat="1" applyFont="1" applyFill="1" applyBorder="1" applyAlignment="1"/>
    <xf numFmtId="1" fontId="8" fillId="0" borderId="230" xfId="0" applyNumberFormat="1" applyFont="1" applyBorder="1" applyAlignment="1" applyProtection="1">
      <alignment vertical="center" textRotation="255"/>
    </xf>
    <xf numFmtId="1" fontId="8" fillId="0" borderId="0" xfId="0" applyNumberFormat="1" applyFont="1" applyBorder="1" applyAlignment="1" applyProtection="1">
      <alignment vertical="center" textRotation="255"/>
    </xf>
    <xf numFmtId="1" fontId="8" fillId="0" borderId="6" xfId="0" applyNumberFormat="1" applyFont="1" applyBorder="1" applyAlignment="1" applyProtection="1">
      <alignment horizontal="center" vertical="center"/>
    </xf>
    <xf numFmtId="1" fontId="8" fillId="0" borderId="6" xfId="0" applyNumberFormat="1" applyFont="1" applyBorder="1" applyAlignment="1" applyProtection="1">
      <alignment vertical="center" textRotation="255"/>
    </xf>
    <xf numFmtId="176" fontId="8" fillId="0" borderId="0" xfId="0" applyFont="1" applyBorder="1" applyAlignment="1" applyProtection="1">
      <alignment vertical="center" textRotation="255"/>
    </xf>
    <xf numFmtId="176" fontId="8" fillId="0" borderId="0" xfId="0" applyFont="1" applyBorder="1" applyAlignment="1" applyProtection="1">
      <alignment horizontal="center" vertical="center"/>
    </xf>
    <xf numFmtId="1" fontId="8" fillId="0" borderId="0" xfId="0" applyNumberFormat="1" applyFont="1" applyBorder="1" applyAlignment="1" applyProtection="1">
      <alignment horizontal="center" vertical="center"/>
    </xf>
    <xf numFmtId="0" fontId="27" fillId="0" borderId="0" xfId="0" applyNumberFormat="1" applyFont="1" applyAlignment="1" applyProtection="1">
      <protection locked="0"/>
    </xf>
    <xf numFmtId="176" fontId="27" fillId="0" borderId="0" xfId="0" applyFont="1"/>
    <xf numFmtId="176" fontId="27" fillId="0" borderId="0" xfId="0" applyFont="1" applyBorder="1" applyAlignment="1">
      <alignment horizontal="center" vertical="center"/>
    </xf>
    <xf numFmtId="176" fontId="8" fillId="0" borderId="0" xfId="0" applyFont="1" applyBorder="1" applyAlignment="1" applyProtection="1">
      <alignment vertical="center"/>
    </xf>
    <xf numFmtId="176" fontId="26" fillId="0" borderId="0" xfId="0" applyFont="1" applyBorder="1" applyAlignment="1" applyProtection="1">
      <alignment horizontal="center" vertical="center"/>
    </xf>
    <xf numFmtId="176" fontId="27" fillId="0" borderId="0" xfId="0" applyFont="1" applyBorder="1" applyAlignment="1" applyProtection="1">
      <alignment vertical="center" shrinkToFit="1"/>
    </xf>
    <xf numFmtId="1" fontId="8" fillId="0" borderId="231" xfId="0" applyNumberFormat="1" applyFont="1" applyBorder="1" applyAlignment="1" applyProtection="1">
      <alignment vertical="center"/>
    </xf>
    <xf numFmtId="1" fontId="8" fillId="0" borderId="232" xfId="0" applyNumberFormat="1" applyFont="1" applyBorder="1" applyAlignment="1" applyProtection="1">
      <alignment vertical="center"/>
    </xf>
    <xf numFmtId="210" fontId="8" fillId="0" borderId="0" xfId="0" applyNumberFormat="1" applyFont="1" applyBorder="1" applyAlignment="1" applyProtection="1">
      <alignment vertical="center"/>
    </xf>
    <xf numFmtId="2" fontId="8" fillId="0" borderId="232" xfId="0" applyNumberFormat="1" applyFont="1" applyBorder="1" applyAlignment="1" applyProtection="1">
      <alignment horizontal="center" vertical="center"/>
    </xf>
    <xf numFmtId="1" fontId="8" fillId="0" borderId="233" xfId="0" applyNumberFormat="1" applyFont="1" applyBorder="1" applyAlignment="1" applyProtection="1">
      <alignment vertical="center"/>
    </xf>
    <xf numFmtId="176" fontId="8" fillId="0" borderId="233" xfId="0" applyFont="1" applyBorder="1" applyAlignment="1" applyProtection="1">
      <alignment vertical="center"/>
    </xf>
    <xf numFmtId="2" fontId="8" fillId="0" borderId="232" xfId="0" applyNumberFormat="1" applyFont="1" applyBorder="1" applyAlignment="1" applyProtection="1">
      <alignment vertical="center"/>
    </xf>
    <xf numFmtId="1" fontId="8" fillId="0" borderId="0" xfId="0" applyNumberFormat="1" applyFont="1" applyBorder="1" applyAlignment="1" applyProtection="1">
      <alignment horizontal="right" vertical="center"/>
    </xf>
    <xf numFmtId="176" fontId="27" fillId="0" borderId="234" xfId="0" applyFont="1" applyBorder="1" applyAlignment="1" applyProtection="1">
      <alignment horizontal="center" vertical="center" shrinkToFit="1"/>
    </xf>
    <xf numFmtId="176" fontId="27" fillId="0" borderId="235" xfId="0" applyFont="1" applyBorder="1" applyAlignment="1" applyProtection="1">
      <alignment horizontal="center" vertical="center" shrinkToFit="1"/>
    </xf>
    <xf numFmtId="176" fontId="8" fillId="0" borderId="0" xfId="0" applyFont="1" applyBorder="1" applyAlignment="1" applyProtection="1">
      <alignment horizontal="center"/>
    </xf>
    <xf numFmtId="1" fontId="27" fillId="0" borderId="0" xfId="0" applyNumberFormat="1" applyFont="1" applyBorder="1" applyAlignment="1" applyProtection="1">
      <alignment horizontal="center"/>
    </xf>
    <xf numFmtId="176" fontId="27" fillId="0" borderId="0" xfId="0" applyFont="1" applyBorder="1" applyAlignment="1">
      <alignment horizontal="center"/>
    </xf>
    <xf numFmtId="39" fontId="27" fillId="0" borderId="0" xfId="0" applyNumberFormat="1" applyFont="1" applyBorder="1" applyAlignment="1" applyProtection="1">
      <alignment horizontal="center" vertical="center"/>
    </xf>
    <xf numFmtId="39" fontId="27" fillId="0" borderId="0" xfId="0" applyNumberFormat="1" applyFont="1" applyBorder="1" applyAlignment="1" applyProtection="1">
      <alignment horizontal="right" vertical="center"/>
    </xf>
    <xf numFmtId="2" fontId="8" fillId="0" borderId="106" xfId="0" applyNumberFormat="1" applyFont="1" applyBorder="1" applyAlignment="1" applyProtection="1">
      <alignment horizontal="center" vertical="center"/>
    </xf>
    <xf numFmtId="10" fontId="27" fillId="0" borderId="0" xfId="0" applyNumberFormat="1" applyFont="1" applyBorder="1" applyAlignment="1">
      <alignment horizontal="center" vertical="center"/>
    </xf>
    <xf numFmtId="2" fontId="8" fillId="0" borderId="0" xfId="0" applyNumberFormat="1" applyFont="1" applyFill="1" applyBorder="1" applyAlignment="1" applyProtection="1">
      <alignment horizontal="center" vertical="center"/>
    </xf>
    <xf numFmtId="2" fontId="8" fillId="0" borderId="180" xfId="0" applyNumberFormat="1" applyFont="1" applyFill="1" applyBorder="1" applyAlignment="1" applyProtection="1">
      <alignment horizontal="center" vertical="center"/>
    </xf>
    <xf numFmtId="210" fontId="8" fillId="0" borderId="0" xfId="0" applyNumberFormat="1" applyFont="1" applyFill="1" applyBorder="1" applyAlignment="1" applyProtection="1">
      <alignment vertical="center"/>
    </xf>
    <xf numFmtId="39" fontId="27" fillId="10" borderId="0" xfId="0" applyNumberFormat="1" applyFont="1" applyFill="1" applyBorder="1" applyAlignment="1" applyProtection="1">
      <alignment vertical="center"/>
    </xf>
    <xf numFmtId="2" fontId="27" fillId="10" borderId="0" xfId="0" applyNumberFormat="1" applyFont="1" applyFill="1" applyBorder="1" applyAlignment="1" applyProtection="1">
      <alignment vertical="center"/>
    </xf>
    <xf numFmtId="176" fontId="27" fillId="0" borderId="107" xfId="0" applyFont="1" applyBorder="1" applyAlignment="1" applyProtection="1">
      <alignment horizontal="center" vertical="center"/>
    </xf>
    <xf numFmtId="176" fontId="27" fillId="0" borderId="54" xfId="0" applyFont="1" applyBorder="1" applyAlignment="1" applyProtection="1">
      <alignment horizontal="center" vertical="center"/>
    </xf>
    <xf numFmtId="176" fontId="27" fillId="0" borderId="211" xfId="0" applyFont="1" applyBorder="1" applyAlignment="1" applyProtection="1">
      <alignment horizontal="center" vertical="center"/>
    </xf>
    <xf numFmtId="176" fontId="27" fillId="0" borderId="236" xfId="0" applyFont="1" applyBorder="1" applyAlignment="1" applyProtection="1">
      <alignment horizontal="center" vertical="center"/>
    </xf>
    <xf numFmtId="1" fontId="27" fillId="0" borderId="0" xfId="0" applyNumberFormat="1" applyFont="1" applyBorder="1" applyAlignment="1" applyProtection="1">
      <alignment vertical="center"/>
    </xf>
    <xf numFmtId="39" fontId="27" fillId="0" borderId="74" xfId="0" applyNumberFormat="1" applyFont="1" applyBorder="1" applyAlignment="1" applyProtection="1">
      <alignment horizontal="center" vertical="center"/>
    </xf>
    <xf numFmtId="176" fontId="27" fillId="0" borderId="74" xfId="0" applyFont="1" applyBorder="1" applyAlignment="1" applyProtection="1">
      <alignment horizontal="center" vertical="center"/>
    </xf>
    <xf numFmtId="185" fontId="27" fillId="0" borderId="235" xfId="0" applyNumberFormat="1" applyFont="1" applyBorder="1" applyAlignment="1" applyProtection="1">
      <alignment vertical="center"/>
    </xf>
    <xf numFmtId="185" fontId="27" fillId="0" borderId="237" xfId="0" applyNumberFormat="1" applyFont="1" applyBorder="1" applyAlignment="1" applyProtection="1">
      <alignment vertical="center"/>
    </xf>
    <xf numFmtId="39" fontId="27" fillId="0" borderId="106" xfId="0" applyNumberFormat="1" applyFont="1" applyBorder="1" applyAlignment="1" applyProtection="1">
      <alignment horizontal="right" vertical="center"/>
    </xf>
    <xf numFmtId="39" fontId="27" fillId="0" borderId="2" xfId="0" applyNumberFormat="1" applyFont="1" applyBorder="1" applyAlignment="1" applyProtection="1">
      <alignment horizontal="center" vertical="center"/>
    </xf>
    <xf numFmtId="176" fontId="27" fillId="0" borderId="2" xfId="0" applyFont="1" applyBorder="1" applyAlignment="1" applyProtection="1">
      <alignment horizontal="center" vertical="center"/>
    </xf>
    <xf numFmtId="39" fontId="27" fillId="0" borderId="2" xfId="0" applyNumberFormat="1" applyFont="1" applyFill="1" applyBorder="1" applyAlignment="1" applyProtection="1">
      <alignment horizontal="center" vertical="center"/>
    </xf>
    <xf numFmtId="39" fontId="27" fillId="0" borderId="74" xfId="0" applyNumberFormat="1" applyFont="1" applyFill="1" applyBorder="1" applyAlignment="1" applyProtection="1">
      <alignment horizontal="center" vertical="center"/>
    </xf>
    <xf numFmtId="39" fontId="27" fillId="0" borderId="106" xfId="0" applyNumberFormat="1" applyFont="1" applyBorder="1" applyAlignment="1" applyProtection="1">
      <alignment horizontal="center" vertical="center"/>
    </xf>
    <xf numFmtId="39" fontId="27" fillId="0" borderId="104" xfId="0" applyNumberFormat="1" applyFont="1" applyFill="1" applyBorder="1" applyAlignment="1" applyProtection="1">
      <alignment vertical="center"/>
    </xf>
    <xf numFmtId="39" fontId="27" fillId="0" borderId="59" xfId="0" applyNumberFormat="1" applyFont="1" applyBorder="1" applyAlignment="1" applyProtection="1">
      <alignment horizontal="center" vertical="center"/>
    </xf>
    <xf numFmtId="39" fontId="27" fillId="0" borderId="59" xfId="0" applyNumberFormat="1" applyFont="1" applyBorder="1" applyAlignment="1" applyProtection="1">
      <alignment horizontal="right" vertical="center"/>
    </xf>
    <xf numFmtId="176" fontId="27" fillId="0" borderId="59" xfId="0" applyFont="1" applyBorder="1" applyAlignment="1" applyProtection="1">
      <alignment horizontal="center" vertical="center"/>
    </xf>
    <xf numFmtId="185" fontId="27" fillId="0" borderId="238" xfId="0" applyNumberFormat="1" applyFont="1" applyBorder="1" applyAlignment="1" applyProtection="1">
      <alignment vertical="center"/>
    </xf>
    <xf numFmtId="39" fontId="27" fillId="0" borderId="105" xfId="0" applyNumberFormat="1" applyFont="1" applyFill="1" applyBorder="1" applyAlignment="1" applyProtection="1">
      <alignment vertical="center"/>
    </xf>
    <xf numFmtId="39" fontId="27" fillId="0" borderId="239" xfId="0" applyNumberFormat="1" applyFont="1" applyFill="1" applyBorder="1" applyAlignment="1" applyProtection="1">
      <alignment vertical="center"/>
    </xf>
    <xf numFmtId="176" fontId="27" fillId="0" borderId="106" xfId="0" applyFont="1" applyBorder="1" applyAlignment="1" applyProtection="1">
      <alignment horizontal="center" vertical="center"/>
    </xf>
    <xf numFmtId="2" fontId="27" fillId="0" borderId="104" xfId="0" applyNumberFormat="1" applyFont="1" applyFill="1" applyBorder="1" applyAlignment="1" applyProtection="1">
      <alignment vertical="center"/>
    </xf>
    <xf numFmtId="2" fontId="27" fillId="0" borderId="105" xfId="0" applyNumberFormat="1" applyFont="1" applyFill="1" applyBorder="1" applyAlignment="1" applyProtection="1">
      <alignment vertical="center"/>
    </xf>
    <xf numFmtId="39" fontId="27" fillId="0" borderId="240" xfId="0" applyNumberFormat="1" applyFont="1" applyFill="1" applyBorder="1" applyAlignment="1" applyProtection="1">
      <alignment horizontal="center" vertical="center"/>
    </xf>
    <xf numFmtId="39" fontId="27" fillId="0" borderId="240" xfId="0" applyNumberFormat="1" applyFont="1" applyBorder="1" applyAlignment="1" applyProtection="1">
      <alignment horizontal="center" vertical="center"/>
    </xf>
    <xf numFmtId="176" fontId="27" fillId="0" borderId="240" xfId="0" applyFont="1" applyBorder="1" applyAlignment="1" applyProtection="1">
      <alignment horizontal="center" vertical="center"/>
    </xf>
    <xf numFmtId="1" fontId="27" fillId="0" borderId="180" xfId="0" applyNumberFormat="1" applyFont="1" applyBorder="1" applyProtection="1"/>
    <xf numFmtId="1" fontId="27" fillId="0" borderId="180" xfId="0" applyNumberFormat="1" applyFont="1" applyBorder="1" applyAlignment="1" applyProtection="1">
      <alignment horizontal="center" vertical="center"/>
    </xf>
    <xf numFmtId="1" fontId="27" fillId="0" borderId="180" xfId="0" applyNumberFormat="1" applyFont="1" applyBorder="1" applyAlignment="1" applyProtection="1">
      <alignment vertical="center"/>
    </xf>
    <xf numFmtId="1" fontId="27" fillId="0" borderId="180" xfId="0" applyNumberFormat="1" applyFont="1" applyBorder="1" applyAlignment="1" applyProtection="1">
      <alignment horizontal="center"/>
    </xf>
    <xf numFmtId="185" fontId="27" fillId="0" borderId="121" xfId="0" applyNumberFormat="1" applyFont="1" applyBorder="1" applyAlignment="1" applyProtection="1"/>
    <xf numFmtId="39" fontId="27" fillId="0" borderId="59" xfId="0" applyNumberFormat="1" applyFont="1" applyFill="1" applyBorder="1" applyAlignment="1" applyProtection="1">
      <alignment horizontal="center" vertical="center"/>
    </xf>
    <xf numFmtId="2" fontId="27" fillId="0" borderId="239" xfId="0" applyNumberFormat="1" applyFont="1" applyFill="1" applyBorder="1" applyAlignment="1" applyProtection="1">
      <alignment vertical="center"/>
    </xf>
    <xf numFmtId="176" fontId="27" fillId="0" borderId="241" xfId="0" applyFont="1" applyBorder="1" applyAlignment="1" applyProtection="1">
      <alignment horizontal="center" vertical="center"/>
    </xf>
    <xf numFmtId="176" fontId="27" fillId="0" borderId="242" xfId="0" applyFont="1" applyBorder="1" applyAlignment="1" applyProtection="1">
      <alignment horizontal="center" vertical="center"/>
    </xf>
    <xf numFmtId="39" fontId="27" fillId="10" borderId="0" xfId="0" applyNumberFormat="1" applyFont="1" applyFill="1" applyBorder="1" applyAlignment="1" applyProtection="1">
      <alignment horizontal="right" vertical="center"/>
    </xf>
    <xf numFmtId="2" fontId="27" fillId="10" borderId="106" xfId="0" applyNumberFormat="1" applyFont="1" applyFill="1" applyBorder="1" applyAlignment="1" applyProtection="1">
      <alignment vertical="center"/>
    </xf>
    <xf numFmtId="39" fontId="27" fillId="10" borderId="106" xfId="0" applyNumberFormat="1" applyFont="1" applyFill="1" applyBorder="1" applyAlignment="1" applyProtection="1">
      <alignment horizontal="right" vertical="center"/>
    </xf>
    <xf numFmtId="38" fontId="74" fillId="0" borderId="0" xfId="10" applyFont="1" applyFill="1" applyBorder="1" applyAlignment="1" applyProtection="1">
      <alignment shrinkToFit="1"/>
    </xf>
    <xf numFmtId="0" fontId="11" fillId="0" borderId="0" xfId="20" applyNumberFormat="1" applyFont="1" applyFill="1" applyBorder="1" applyAlignment="1" applyProtection="1"/>
    <xf numFmtId="176" fontId="8" fillId="0" borderId="0" xfId="0" applyFont="1" applyAlignment="1">
      <alignment horizontal="center"/>
    </xf>
    <xf numFmtId="211" fontId="15" fillId="0" borderId="3" xfId="10" applyNumberFormat="1" applyFont="1" applyBorder="1" applyAlignment="1" applyProtection="1"/>
    <xf numFmtId="0" fontId="15" fillId="0" borderId="111" xfId="11" applyNumberFormat="1" applyFont="1" applyBorder="1" applyAlignment="1" applyProtection="1">
      <protection locked="0"/>
    </xf>
    <xf numFmtId="0" fontId="15" fillId="0" borderId="215" xfId="11" applyNumberFormat="1" applyFont="1" applyBorder="1" applyAlignment="1" applyProtection="1">
      <protection locked="0"/>
    </xf>
    <xf numFmtId="0" fontId="15" fillId="0" borderId="2" xfId="11" applyNumberFormat="1" applyFont="1" applyBorder="1" applyAlignment="1" applyProtection="1">
      <protection locked="0"/>
    </xf>
    <xf numFmtId="40" fontId="15" fillId="0" borderId="2" xfId="10" applyNumberFormat="1" applyFont="1" applyBorder="1" applyAlignment="1" applyProtection="1">
      <protection locked="0"/>
    </xf>
    <xf numFmtId="0" fontId="15" fillId="0" borderId="243" xfId="11" applyNumberFormat="1" applyFont="1" applyBorder="1" applyAlignment="1" applyProtection="1">
      <protection locked="0"/>
    </xf>
    <xf numFmtId="40" fontId="15" fillId="0" borderId="243" xfId="10" applyNumberFormat="1" applyFont="1" applyBorder="1" applyAlignment="1" applyProtection="1">
      <protection locked="0"/>
    </xf>
    <xf numFmtId="0" fontId="67" fillId="0" borderId="110" xfId="11" applyFont="1" applyBorder="1" applyAlignment="1"/>
    <xf numFmtId="0" fontId="67" fillId="0" borderId="33" xfId="11" applyFont="1" applyBorder="1" applyAlignment="1"/>
    <xf numFmtId="0" fontId="67" fillId="0" borderId="37" xfId="11" applyFont="1" applyBorder="1" applyAlignment="1"/>
    <xf numFmtId="4" fontId="15" fillId="0" borderId="215" xfId="10" applyNumberFormat="1" applyFont="1" applyBorder="1" applyAlignment="1" applyProtection="1">
      <protection locked="0"/>
    </xf>
    <xf numFmtId="49" fontId="15" fillId="0" borderId="0" xfId="11" applyNumberFormat="1" applyFont="1" applyAlignment="1" applyProtection="1">
      <alignment horizontal="left"/>
      <protection locked="0"/>
    </xf>
    <xf numFmtId="3" fontId="32" fillId="0" borderId="0" xfId="18" applyNumberFormat="1" applyFont="1" applyFill="1" applyAlignment="1" applyProtection="1">
      <protection locked="0"/>
    </xf>
    <xf numFmtId="38" fontId="8" fillId="0" borderId="0" xfId="17" applyNumberFormat="1" applyFont="1" applyAlignment="1" applyProtection="1">
      <protection locked="0"/>
    </xf>
    <xf numFmtId="0" fontId="8" fillId="0" borderId="142" xfId="17" applyNumberFormat="1" applyFont="1" applyFill="1" applyBorder="1" applyAlignment="1" applyProtection="1">
      <alignment horizontal="distributed" vertical="center"/>
      <protection locked="0"/>
    </xf>
    <xf numFmtId="0" fontId="8" fillId="0" borderId="143" xfId="17" applyNumberFormat="1" applyFont="1" applyFill="1" applyBorder="1" applyAlignment="1" applyProtection="1">
      <alignment horizontal="distributed" vertical="center"/>
      <protection locked="0"/>
    </xf>
    <xf numFmtId="0" fontId="8" fillId="0" borderId="144" xfId="17" applyFont="1" applyFill="1" applyBorder="1" applyAlignment="1">
      <alignment horizontal="distributed" vertical="distributed"/>
    </xf>
    <xf numFmtId="3" fontId="8" fillId="0" borderId="244" xfId="0" applyNumberFormat="1" applyFont="1" applyBorder="1" applyAlignment="1" applyProtection="1">
      <protection locked="0"/>
    </xf>
    <xf numFmtId="38" fontId="8" fillId="0" borderId="205" xfId="10" applyFont="1" applyBorder="1" applyAlignment="1" applyProtection="1">
      <protection locked="0"/>
    </xf>
    <xf numFmtId="3" fontId="8" fillId="0" borderId="3" xfId="0" applyNumberFormat="1" applyFont="1" applyBorder="1" applyAlignment="1" applyProtection="1">
      <protection locked="0"/>
    </xf>
    <xf numFmtId="38" fontId="8" fillId="0" borderId="206" xfId="10" applyFont="1" applyBorder="1" applyAlignment="1" applyProtection="1">
      <protection locked="0"/>
    </xf>
    <xf numFmtId="0" fontId="8" fillId="0" borderId="131" xfId="17" applyNumberFormat="1" applyFont="1" applyFill="1" applyBorder="1" applyAlignment="1" applyProtection="1">
      <alignment horizontal="distributed" vertical="center"/>
      <protection locked="0"/>
    </xf>
    <xf numFmtId="3" fontId="8" fillId="0" borderId="185" xfId="0" applyNumberFormat="1" applyFont="1" applyBorder="1" applyAlignment="1" applyProtection="1">
      <protection locked="0"/>
    </xf>
    <xf numFmtId="0" fontId="8" fillId="0" borderId="244" xfId="0" applyNumberFormat="1" applyFont="1" applyBorder="1" applyAlignment="1" applyProtection="1">
      <alignment horizontal="distributed" vertical="center"/>
      <protection locked="0"/>
    </xf>
    <xf numFmtId="0" fontId="8" fillId="0" borderId="3" xfId="0" applyNumberFormat="1" applyFont="1" applyBorder="1" applyAlignment="1" applyProtection="1">
      <alignment horizontal="distributed" vertical="center"/>
      <protection locked="0"/>
    </xf>
    <xf numFmtId="0" fontId="8" fillId="0" borderId="185" xfId="0" applyNumberFormat="1" applyFont="1" applyBorder="1" applyAlignment="1" applyProtection="1">
      <alignment horizontal="distributed" vertical="center"/>
      <protection locked="0"/>
    </xf>
    <xf numFmtId="3" fontId="8" fillId="0" borderId="186" xfId="0" applyNumberFormat="1" applyFont="1" applyBorder="1" applyAlignment="1" applyProtection="1">
      <protection locked="0"/>
    </xf>
    <xf numFmtId="3" fontId="8" fillId="0" borderId="209" xfId="0" applyNumberFormat="1" applyFont="1" applyBorder="1" applyAlignment="1" applyProtection="1">
      <protection locked="0"/>
    </xf>
    <xf numFmtId="0" fontId="8" fillId="0" borderId="180" xfId="0" applyNumberFormat="1" applyFont="1" applyBorder="1" applyAlignment="1" applyProtection="1">
      <protection locked="0"/>
    </xf>
    <xf numFmtId="0" fontId="8" fillId="0" borderId="58" xfId="0" applyNumberFormat="1" applyFont="1" applyBorder="1" applyAlignment="1" applyProtection="1">
      <protection locked="0"/>
    </xf>
    <xf numFmtId="38" fontId="8" fillId="0" borderId="245" xfId="10" applyFont="1" applyBorder="1" applyAlignment="1" applyProtection="1">
      <protection locked="0"/>
    </xf>
    <xf numFmtId="0" fontId="8" fillId="0" borderId="246" xfId="0" applyNumberFormat="1" applyFont="1" applyBorder="1" applyAlignment="1" applyProtection="1">
      <alignment horizontal="distributed" vertical="center"/>
      <protection locked="0"/>
    </xf>
    <xf numFmtId="3" fontId="8" fillId="0" borderId="246" xfId="0" applyNumberFormat="1" applyFont="1" applyBorder="1" applyAlignment="1" applyProtection="1">
      <protection locked="0"/>
    </xf>
    <xf numFmtId="38" fontId="8" fillId="0" borderId="208" xfId="10" applyFont="1" applyBorder="1" applyAlignment="1" applyProtection="1">
      <protection locked="0"/>
    </xf>
    <xf numFmtId="215" fontId="15" fillId="10" borderId="46" xfId="11" applyNumberFormat="1" applyFont="1" applyFill="1" applyBorder="1" applyAlignment="1" applyProtection="1">
      <alignment horizontal="center"/>
      <protection locked="0"/>
    </xf>
    <xf numFmtId="216" fontId="15" fillId="10" borderId="247" xfId="11" applyNumberFormat="1" applyFont="1" applyFill="1" applyBorder="1" applyAlignment="1" applyProtection="1">
      <alignment horizontal="center"/>
      <protection locked="0"/>
    </xf>
    <xf numFmtId="217" fontId="15" fillId="10" borderId="248" xfId="11" applyNumberFormat="1" applyFont="1" applyFill="1" applyBorder="1" applyAlignment="1" applyProtection="1">
      <alignment horizontal="center"/>
      <protection locked="0"/>
    </xf>
    <xf numFmtId="39" fontId="27" fillId="0" borderId="0" xfId="0" applyNumberFormat="1" applyFont="1" applyAlignment="1" applyProtection="1">
      <protection locked="0"/>
    </xf>
    <xf numFmtId="182" fontId="27" fillId="0" borderId="0" xfId="0" applyNumberFormat="1" applyFont="1" applyAlignment="1" applyProtection="1">
      <protection locked="0"/>
    </xf>
    <xf numFmtId="3" fontId="30" fillId="0" borderId="182" xfId="18" applyNumberFormat="1" applyFont="1" applyFill="1" applyBorder="1" applyAlignment="1"/>
    <xf numFmtId="0" fontId="8" fillId="0" borderId="53" xfId="0" applyNumberFormat="1" applyFont="1" applyBorder="1" applyAlignment="1" applyProtection="1">
      <alignment horizontal="distributed" vertical="center"/>
      <protection locked="0"/>
    </xf>
    <xf numFmtId="3" fontId="8" fillId="0" borderId="53" xfId="0" applyNumberFormat="1" applyFont="1" applyBorder="1" applyAlignment="1" applyProtection="1">
      <protection locked="0"/>
    </xf>
    <xf numFmtId="176" fontId="27" fillId="0" borderId="87" xfId="0" applyFont="1" applyBorder="1" applyAlignment="1" applyProtection="1">
      <alignment horizontal="center" vertical="center" shrinkToFit="1"/>
    </xf>
    <xf numFmtId="207" fontId="58" fillId="0" borderId="249" xfId="17" applyNumberFormat="1" applyFont="1" applyFill="1" applyBorder="1" applyAlignment="1">
      <alignment horizontal="left" vertical="center" shrinkToFit="1"/>
    </xf>
    <xf numFmtId="193" fontId="8" fillId="0" borderId="77" xfId="17" applyNumberFormat="1" applyFont="1" applyBorder="1" applyAlignment="1">
      <alignment horizontal="right"/>
    </xf>
    <xf numFmtId="185" fontId="27" fillId="0" borderId="80" xfId="0" applyNumberFormat="1" applyFont="1" applyBorder="1" applyAlignment="1" applyProtection="1">
      <alignment horizontal="right" vertical="center"/>
    </xf>
    <xf numFmtId="185" fontId="27" fillId="0" borderId="238" xfId="0" applyNumberFormat="1" applyFont="1" applyBorder="1" applyAlignment="1" applyProtection="1">
      <alignment horizontal="right" vertical="center"/>
    </xf>
    <xf numFmtId="185" fontId="27" fillId="0" borderId="250" xfId="0" applyNumberFormat="1" applyFont="1" applyBorder="1" applyAlignment="1" applyProtection="1">
      <alignment horizontal="right" vertical="center"/>
    </xf>
    <xf numFmtId="185" fontId="27" fillId="0" borderId="183" xfId="0" applyNumberFormat="1" applyFont="1" applyBorder="1" applyAlignment="1" applyProtection="1">
      <alignment horizontal="right" vertical="center"/>
    </xf>
    <xf numFmtId="176" fontId="27" fillId="0" borderId="251" xfId="0" applyFont="1" applyBorder="1" applyAlignment="1" applyProtection="1">
      <alignment horizontal="center" vertical="center" shrinkToFit="1"/>
    </xf>
    <xf numFmtId="176" fontId="27" fillId="0" borderId="82" xfId="0" applyFont="1" applyBorder="1" applyAlignment="1" applyProtection="1">
      <alignment horizontal="center" vertical="center" shrinkToFit="1"/>
    </xf>
    <xf numFmtId="207" fontId="58" fillId="0" borderId="252" xfId="17" applyNumberFormat="1" applyFont="1" applyFill="1" applyBorder="1" applyAlignment="1">
      <alignment horizontal="left" vertical="center" shrinkToFit="1"/>
    </xf>
    <xf numFmtId="4" fontId="27" fillId="0" borderId="253" xfId="0" applyNumberFormat="1" applyFont="1" applyBorder="1" applyAlignment="1" applyProtection="1">
      <alignment horizontal="right" shrinkToFit="1"/>
    </xf>
    <xf numFmtId="4" fontId="27" fillId="0" borderId="253" xfId="0" applyNumberFormat="1" applyFont="1" applyFill="1" applyBorder="1" applyAlignment="1" applyProtection="1">
      <alignment horizontal="right" shrinkToFit="1"/>
    </xf>
    <xf numFmtId="4" fontId="27" fillId="0" borderId="254" xfId="0" applyNumberFormat="1" applyFont="1" applyFill="1" applyBorder="1" applyAlignment="1" applyProtection="1">
      <alignment horizontal="right" shrinkToFit="1"/>
    </xf>
    <xf numFmtId="4" fontId="27" fillId="0" borderId="220" xfId="0" applyNumberFormat="1" applyFont="1" applyBorder="1" applyAlignment="1" applyProtection="1">
      <alignment horizontal="right" shrinkToFit="1"/>
    </xf>
    <xf numFmtId="4" fontId="27" fillId="0" borderId="220" xfId="0" applyNumberFormat="1" applyFont="1" applyFill="1" applyBorder="1" applyAlignment="1" applyProtection="1">
      <alignment horizontal="right" shrinkToFit="1"/>
    </xf>
    <xf numFmtId="4" fontId="27" fillId="0" borderId="81" xfId="0" applyNumberFormat="1" applyFont="1" applyFill="1" applyBorder="1" applyAlignment="1" applyProtection="1">
      <alignment horizontal="right" shrinkToFit="1"/>
    </xf>
    <xf numFmtId="176" fontId="27" fillId="0" borderId="0" xfId="0" applyFont="1" applyBorder="1" applyAlignment="1" applyProtection="1">
      <alignment horizontal="right" vertical="center" shrinkToFit="1"/>
    </xf>
    <xf numFmtId="38" fontId="74" fillId="10" borderId="3" xfId="10" applyFont="1" applyFill="1" applyBorder="1" applyAlignment="1" applyProtection="1">
      <alignment shrinkToFit="1"/>
      <protection locked="0"/>
    </xf>
    <xf numFmtId="0" fontId="16" fillId="0" borderId="0" xfId="20" applyFont="1" applyAlignment="1" applyProtection="1"/>
    <xf numFmtId="0" fontId="4" fillId="0" borderId="0" xfId="20" applyFont="1" applyAlignment="1" applyProtection="1"/>
    <xf numFmtId="0" fontId="4" fillId="0" borderId="0" xfId="20" applyNumberFormat="1" applyFont="1" applyAlignment="1" applyProtection="1"/>
    <xf numFmtId="0" fontId="16" fillId="0" borderId="5" xfId="20" applyFont="1" applyBorder="1" applyAlignment="1" applyProtection="1"/>
    <xf numFmtId="177" fontId="16" fillId="0" borderId="5" xfId="20" applyNumberFormat="1" applyFont="1" applyBorder="1" applyAlignment="1" applyProtection="1">
      <alignment horizontal="right"/>
    </xf>
    <xf numFmtId="38" fontId="16" fillId="0" borderId="0" xfId="20" applyNumberFormat="1" applyFont="1" applyAlignment="1" applyProtection="1"/>
    <xf numFmtId="39" fontId="8" fillId="10" borderId="0" xfId="0" applyNumberFormat="1" applyFont="1" applyFill="1" applyBorder="1" applyAlignment="1" applyProtection="1">
      <alignment horizontal="right" vertical="center"/>
    </xf>
    <xf numFmtId="176" fontId="27" fillId="0" borderId="0" xfId="0" applyFont="1" applyBorder="1" applyAlignment="1" applyProtection="1">
      <alignment horizontal="center" vertical="center" shrinkToFit="1"/>
    </xf>
    <xf numFmtId="209" fontId="58" fillId="0" borderId="0" xfId="17" applyNumberFormat="1" applyFont="1" applyFill="1" applyBorder="1" applyAlignment="1">
      <alignment horizontal="center" vertical="center" shrinkToFit="1"/>
    </xf>
    <xf numFmtId="4" fontId="27" fillId="0" borderId="0" xfId="0" applyNumberFormat="1" applyFont="1" applyBorder="1" applyAlignment="1" applyProtection="1">
      <alignment horizontal="right" shrinkToFit="1"/>
    </xf>
    <xf numFmtId="4" fontId="27" fillId="0" borderId="0" xfId="0" applyNumberFormat="1" applyFont="1" applyFill="1" applyBorder="1" applyAlignment="1" applyProtection="1">
      <alignment horizontal="right" shrinkToFit="1"/>
    </xf>
    <xf numFmtId="1" fontId="27" fillId="0" borderId="0" xfId="0" quotePrefix="1" applyNumberFormat="1" applyFont="1" applyBorder="1" applyAlignment="1" applyProtection="1">
      <alignment vertical="center"/>
    </xf>
    <xf numFmtId="1" fontId="8" fillId="0" borderId="72" xfId="0" applyNumberFormat="1" applyFont="1" applyBorder="1" applyAlignment="1" applyProtection="1">
      <alignment vertical="center"/>
    </xf>
    <xf numFmtId="1" fontId="8" fillId="0" borderId="74" xfId="0" applyNumberFormat="1" applyFont="1" applyBorder="1" applyAlignment="1" applyProtection="1">
      <alignment vertical="center"/>
    </xf>
    <xf numFmtId="176" fontId="8" fillId="0" borderId="74" xfId="0" applyFont="1" applyBorder="1" applyAlignment="1" applyProtection="1">
      <alignment vertical="center"/>
    </xf>
    <xf numFmtId="1" fontId="8" fillId="0" borderId="80" xfId="0" applyNumberFormat="1" applyFont="1" applyBorder="1" applyAlignment="1" applyProtection="1">
      <alignment vertical="center"/>
    </xf>
    <xf numFmtId="0" fontId="8" fillId="0" borderId="0" xfId="0" applyNumberFormat="1" applyFont="1" applyAlignment="1" applyProtection="1">
      <alignment vertical="center"/>
      <protection locked="0"/>
    </xf>
    <xf numFmtId="1" fontId="8" fillId="0" borderId="55" xfId="0" applyNumberFormat="1" applyFont="1" applyBorder="1" applyAlignment="1" applyProtection="1">
      <alignment vertical="center"/>
    </xf>
    <xf numFmtId="1" fontId="8" fillId="0" borderId="0" xfId="0" applyNumberFormat="1" applyFont="1" applyBorder="1" applyAlignment="1" applyProtection="1">
      <alignment vertical="center"/>
    </xf>
    <xf numFmtId="1" fontId="8" fillId="0" borderId="235" xfId="0" applyNumberFormat="1" applyFont="1" applyBorder="1" applyAlignment="1" applyProtection="1">
      <alignment vertical="center"/>
    </xf>
    <xf numFmtId="1" fontId="8" fillId="0" borderId="4" xfId="0" applyNumberFormat="1" applyFont="1" applyBorder="1" applyAlignment="1" applyProtection="1">
      <alignment vertical="center"/>
    </xf>
    <xf numFmtId="1" fontId="8" fillId="0" borderId="6" xfId="0" applyNumberFormat="1" applyFont="1" applyBorder="1" applyAlignment="1" applyProtection="1">
      <alignment vertical="center"/>
    </xf>
    <xf numFmtId="176" fontId="8" fillId="0" borderId="6" xfId="0" applyFont="1" applyBorder="1" applyAlignment="1" applyProtection="1">
      <alignment vertical="center"/>
    </xf>
    <xf numFmtId="1" fontId="8" fillId="0" borderId="182" xfId="0" applyNumberFormat="1" applyFont="1" applyBorder="1" applyAlignment="1" applyProtection="1">
      <alignment vertical="center"/>
    </xf>
    <xf numFmtId="1" fontId="8" fillId="0" borderId="5" xfId="0" applyNumberFormat="1" applyFont="1" applyBorder="1" applyAlignment="1" applyProtection="1">
      <alignment vertical="center"/>
    </xf>
    <xf numFmtId="1" fontId="8" fillId="0" borderId="255" xfId="0" applyNumberFormat="1" applyFont="1" applyBorder="1" applyAlignment="1" applyProtection="1">
      <alignment vertical="center"/>
    </xf>
    <xf numFmtId="10" fontId="26" fillId="0" borderId="235" xfId="9" applyNumberFormat="1" applyFont="1" applyBorder="1" applyAlignment="1" applyProtection="1">
      <alignment horizontal="center" vertical="center"/>
    </xf>
    <xf numFmtId="1" fontId="8" fillId="0" borderId="0" xfId="0" quotePrefix="1" applyNumberFormat="1" applyFont="1" applyBorder="1" applyAlignment="1" applyProtection="1">
      <alignment vertical="center"/>
    </xf>
    <xf numFmtId="189" fontId="11" fillId="0" borderId="4" xfId="10" applyNumberFormat="1" applyFont="1" applyFill="1" applyBorder="1" applyAlignment="1" applyProtection="1">
      <alignment shrinkToFit="1"/>
    </xf>
    <xf numFmtId="189" fontId="11" fillId="0" borderId="3" xfId="10" applyNumberFormat="1" applyFont="1" applyFill="1" applyBorder="1" applyAlignment="1" applyProtection="1">
      <alignment shrinkToFit="1"/>
    </xf>
    <xf numFmtId="189" fontId="11" fillId="0" borderId="256" xfId="10" applyNumberFormat="1" applyFont="1" applyFill="1" applyBorder="1" applyAlignment="1" applyProtection="1">
      <alignment shrinkToFit="1"/>
    </xf>
    <xf numFmtId="3" fontId="30" fillId="0" borderId="257" xfId="18" applyNumberFormat="1" applyFont="1" applyFill="1" applyBorder="1" applyAlignment="1"/>
    <xf numFmtId="191" fontId="30" fillId="0" borderId="4" xfId="18" applyNumberFormat="1" applyFont="1" applyFill="1" applyBorder="1" applyAlignment="1"/>
    <xf numFmtId="190" fontId="30" fillId="0" borderId="4" xfId="18" applyNumberFormat="1" applyFont="1" applyFill="1" applyBorder="1" applyAlignment="1"/>
    <xf numFmtId="192" fontId="30" fillId="0" borderId="4" xfId="18" applyNumberFormat="1" applyFont="1" applyFill="1" applyBorder="1" applyAlignment="1"/>
    <xf numFmtId="202" fontId="30" fillId="0" borderId="4" xfId="18" applyNumberFormat="1" applyFont="1" applyFill="1" applyBorder="1" applyAlignment="1"/>
    <xf numFmtId="190" fontId="30" fillId="0" borderId="83" xfId="18" applyNumberFormat="1" applyFont="1" applyFill="1" applyBorder="1" applyAlignment="1"/>
    <xf numFmtId="191" fontId="30" fillId="12" borderId="4" xfId="18" applyNumberFormat="1" applyFont="1" applyFill="1" applyBorder="1" applyAlignment="1"/>
    <xf numFmtId="202" fontId="30" fillId="12" borderId="4" xfId="18" applyNumberFormat="1" applyFont="1" applyFill="1" applyBorder="1" applyAlignment="1"/>
    <xf numFmtId="0" fontId="32" fillId="0" borderId="0" xfId="18" applyNumberFormat="1" applyFont="1" applyFill="1" applyAlignment="1" applyProtection="1">
      <protection locked="0"/>
    </xf>
    <xf numFmtId="0" fontId="32" fillId="0" borderId="0" xfId="18" applyFont="1" applyFill="1" applyBorder="1" applyAlignment="1"/>
    <xf numFmtId="0" fontId="32" fillId="0" borderId="0" xfId="18" applyFont="1" applyFill="1" applyAlignment="1"/>
    <xf numFmtId="4" fontId="15" fillId="0" borderId="5" xfId="19" applyNumberFormat="1" applyFont="1" applyBorder="1" applyAlignment="1" applyProtection="1"/>
    <xf numFmtId="38" fontId="30" fillId="0" borderId="0" xfId="10" applyFont="1" applyFill="1" applyAlignment="1"/>
    <xf numFmtId="0" fontId="1" fillId="0" borderId="22" xfId="13" applyFont="1" applyBorder="1" applyAlignment="1"/>
    <xf numFmtId="0" fontId="1" fillId="0" borderId="258" xfId="13" applyFont="1" applyBorder="1" applyAlignment="1"/>
    <xf numFmtId="0" fontId="1" fillId="0" borderId="9" xfId="13" applyNumberFormat="1" applyFont="1" applyBorder="1" applyAlignment="1" applyProtection="1">
      <protection locked="0"/>
    </xf>
    <xf numFmtId="0" fontId="1" fillId="0" borderId="0" xfId="13" applyNumberFormat="1" applyFont="1" applyBorder="1" applyAlignment="1" applyProtection="1">
      <protection locked="0"/>
    </xf>
    <xf numFmtId="176" fontId="28" fillId="0" borderId="0" xfId="0" applyFont="1"/>
    <xf numFmtId="0" fontId="78" fillId="0" borderId="10" xfId="11" applyFont="1" applyBorder="1" applyAlignment="1"/>
    <xf numFmtId="0" fontId="78" fillId="0" borderId="10" xfId="11" applyFont="1" applyBorder="1" applyAlignment="1">
      <alignment horizontal="right"/>
    </xf>
    <xf numFmtId="56" fontId="78" fillId="0" borderId="10" xfId="11" applyNumberFormat="1" applyFont="1" applyBorder="1" applyAlignment="1">
      <alignment horizontal="right"/>
    </xf>
    <xf numFmtId="0" fontId="78" fillId="0" borderId="0" xfId="11" applyFont="1" applyAlignment="1">
      <alignment horizontal="right"/>
    </xf>
    <xf numFmtId="0" fontId="78" fillId="0" borderId="0" xfId="11" applyFont="1" applyBorder="1" applyAlignment="1"/>
    <xf numFmtId="0" fontId="11" fillId="0" borderId="0" xfId="11" applyFont="1" applyBorder="1" applyAlignment="1"/>
    <xf numFmtId="0" fontId="11" fillId="0" borderId="0" xfId="11" applyFont="1" applyBorder="1" applyAlignment="1">
      <alignment horizontal="right"/>
    </xf>
    <xf numFmtId="56" fontId="11" fillId="0" borderId="0" xfId="11" applyNumberFormat="1" applyFont="1" applyBorder="1" applyAlignment="1">
      <alignment horizontal="right"/>
    </xf>
    <xf numFmtId="176" fontId="28" fillId="0" borderId="0" xfId="0" applyFont="1" applyFill="1"/>
    <xf numFmtId="196" fontId="8" fillId="0" borderId="0" xfId="17" applyNumberFormat="1" applyFont="1" applyBorder="1" applyAlignment="1"/>
    <xf numFmtId="3" fontId="30" fillId="0" borderId="182" xfId="18" applyNumberFormat="1" applyFont="1" applyFill="1" applyBorder="1" applyAlignment="1">
      <alignment horizontal="right"/>
    </xf>
    <xf numFmtId="3" fontId="8" fillId="0" borderId="0" xfId="18" applyNumberFormat="1" applyFont="1" applyFill="1" applyAlignment="1"/>
    <xf numFmtId="189" fontId="11" fillId="0" borderId="259" xfId="10" applyNumberFormat="1" applyFont="1" applyFill="1" applyBorder="1" applyAlignment="1" applyProtection="1">
      <alignment shrinkToFit="1"/>
    </xf>
    <xf numFmtId="9" fontId="8" fillId="0" borderId="0" xfId="0" applyNumberFormat="1" applyFont="1" applyFill="1" applyAlignment="1">
      <alignment horizontal="left"/>
    </xf>
    <xf numFmtId="9" fontId="8" fillId="0" borderId="0" xfId="0" applyNumberFormat="1" applyFont="1" applyAlignment="1">
      <alignment horizontal="left"/>
    </xf>
    <xf numFmtId="3" fontId="8" fillId="0" borderId="3" xfId="0" applyNumberFormat="1" applyFont="1" applyFill="1" applyBorder="1" applyAlignment="1" applyProtection="1">
      <protection locked="0"/>
    </xf>
    <xf numFmtId="3" fontId="8" fillId="0" borderId="0" xfId="14" applyNumberFormat="1" applyFont="1" applyFill="1" applyAlignment="1"/>
    <xf numFmtId="180" fontId="8" fillId="0" borderId="0" xfId="14" applyNumberFormat="1" applyFont="1" applyFill="1" applyAlignment="1"/>
    <xf numFmtId="0" fontId="8" fillId="0" borderId="0" xfId="14" applyNumberFormat="1" applyFont="1" applyFill="1" applyAlignment="1"/>
    <xf numFmtId="0" fontId="8" fillId="0" borderId="0" xfId="14" applyFont="1" applyFill="1" applyAlignment="1"/>
    <xf numFmtId="0" fontId="27" fillId="0" borderId="0" xfId="0" applyNumberFormat="1" applyFont="1" applyBorder="1" applyAlignment="1" applyProtection="1">
      <protection locked="0"/>
    </xf>
    <xf numFmtId="0" fontId="21" fillId="10" borderId="239" xfId="0" applyNumberFormat="1" applyFont="1" applyFill="1" applyBorder="1" applyAlignment="1" applyProtection="1">
      <alignment horizontal="center"/>
      <protection locked="0"/>
    </xf>
    <xf numFmtId="0" fontId="21" fillId="10" borderId="260" xfId="0" applyNumberFormat="1" applyFont="1" applyFill="1" applyBorder="1" applyAlignment="1" applyProtection="1">
      <alignment horizontal="center"/>
      <protection locked="0"/>
    </xf>
    <xf numFmtId="0" fontId="21" fillId="10" borderId="261" xfId="0" applyNumberFormat="1" applyFont="1" applyFill="1" applyBorder="1" applyAlignment="1" applyProtection="1">
      <alignment horizontal="center"/>
      <protection locked="0"/>
    </xf>
    <xf numFmtId="0" fontId="21" fillId="10" borderId="262" xfId="0" applyNumberFormat="1" applyFont="1" applyFill="1" applyBorder="1" applyAlignment="1" applyProtection="1">
      <alignment horizontal="center"/>
      <protection locked="0"/>
    </xf>
    <xf numFmtId="0" fontId="21" fillId="10" borderId="263" xfId="0" applyNumberFormat="1" applyFont="1" applyFill="1" applyBorder="1" applyAlignment="1" applyProtection="1">
      <alignment horizontal="center"/>
      <protection locked="0"/>
    </xf>
    <xf numFmtId="0" fontId="1" fillId="0" borderId="264" xfId="13" applyFont="1" applyBorder="1" applyAlignment="1"/>
    <xf numFmtId="0" fontId="1" fillId="0" borderId="265" xfId="13" applyFont="1" applyBorder="1" applyAlignment="1"/>
    <xf numFmtId="0" fontId="1" fillId="0" borderId="266" xfId="13" applyFont="1" applyBorder="1" applyAlignment="1"/>
    <xf numFmtId="0" fontId="1" fillId="0" borderId="267" xfId="13" applyFont="1" applyBorder="1" applyAlignment="1"/>
    <xf numFmtId="0" fontId="1" fillId="0" borderId="268" xfId="13" applyFont="1" applyBorder="1" applyAlignment="1"/>
    <xf numFmtId="0" fontId="23" fillId="0" borderId="0" xfId="0" applyNumberFormat="1" applyFont="1" applyAlignment="1" applyProtection="1">
      <protection locked="0"/>
    </xf>
    <xf numFmtId="0" fontId="1" fillId="0" borderId="67" xfId="13" applyFont="1" applyBorder="1" applyAlignment="1">
      <alignment horizontal="left"/>
    </xf>
    <xf numFmtId="0" fontId="1" fillId="0" borderId="270" xfId="13" applyFont="1" applyBorder="1" applyAlignment="1"/>
    <xf numFmtId="0" fontId="1" fillId="0" borderId="271" xfId="13" applyFont="1" applyBorder="1" applyAlignment="1"/>
    <xf numFmtId="0" fontId="1" fillId="0" borderId="175" xfId="13" applyFont="1" applyBorder="1" applyAlignment="1">
      <alignment horizontal="distributed"/>
    </xf>
    <xf numFmtId="3" fontId="1" fillId="0" borderId="175" xfId="13" applyNumberFormat="1" applyFont="1" applyBorder="1" applyAlignment="1"/>
    <xf numFmtId="3" fontId="1" fillId="0" borderId="272" xfId="13" applyNumberFormat="1" applyFont="1" applyBorder="1" applyAlignment="1"/>
    <xf numFmtId="0" fontId="1" fillId="0" borderId="175" xfId="13" applyNumberFormat="1" applyFont="1" applyBorder="1" applyAlignment="1" applyProtection="1">
      <protection locked="0"/>
    </xf>
    <xf numFmtId="0" fontId="1" fillId="0" borderId="273" xfId="13" applyFont="1" applyBorder="1" applyAlignment="1">
      <alignment horizontal="distributed"/>
    </xf>
    <xf numFmtId="176" fontId="8" fillId="0" borderId="0" xfId="0" applyFont="1" applyAlignment="1"/>
    <xf numFmtId="0" fontId="1" fillId="0" borderId="274" xfId="13" applyFont="1" applyBorder="1" applyAlignment="1">
      <alignment vertical="center"/>
    </xf>
    <xf numFmtId="0" fontId="1" fillId="0" borderId="275" xfId="13" applyFont="1" applyBorder="1" applyAlignment="1">
      <alignment vertical="center"/>
    </xf>
    <xf numFmtId="0" fontId="1" fillId="0" borderId="276" xfId="13" applyFont="1" applyBorder="1" applyAlignment="1">
      <alignment vertical="center"/>
    </xf>
    <xf numFmtId="0" fontId="1" fillId="0" borderId="277" xfId="13" applyFont="1" applyBorder="1" applyAlignment="1">
      <alignment vertical="center"/>
    </xf>
    <xf numFmtId="0" fontId="1" fillId="0" borderId="278" xfId="13" applyFont="1" applyBorder="1" applyAlignment="1">
      <alignment vertical="center"/>
    </xf>
    <xf numFmtId="0" fontId="1" fillId="0" borderId="279" xfId="13" applyFont="1" applyBorder="1" applyAlignment="1">
      <alignment vertical="center"/>
    </xf>
    <xf numFmtId="0" fontId="1" fillId="0" borderId="34" xfId="13" applyFont="1" applyBorder="1" applyAlignment="1">
      <alignment vertical="center"/>
    </xf>
    <xf numFmtId="0" fontId="1" fillId="0" borderId="280" xfId="13" applyFont="1" applyBorder="1" applyAlignment="1">
      <alignment vertical="center"/>
    </xf>
    <xf numFmtId="0" fontId="0" fillId="0" borderId="51" xfId="0" applyNumberFormat="1" applyFont="1" applyBorder="1" applyAlignment="1" applyProtection="1">
      <protection locked="0"/>
    </xf>
    <xf numFmtId="0" fontId="21" fillId="7" borderId="59" xfId="0" applyNumberFormat="1" applyFont="1" applyFill="1" applyBorder="1" applyAlignment="1" applyProtection="1">
      <alignment horizontal="center"/>
      <protection locked="0"/>
    </xf>
    <xf numFmtId="0" fontId="21" fillId="13" borderId="59" xfId="0" applyNumberFormat="1" applyFont="1" applyFill="1" applyBorder="1" applyAlignment="1" applyProtection="1">
      <alignment horizontal="center"/>
      <protection locked="0"/>
    </xf>
    <xf numFmtId="0" fontId="21" fillId="0" borderId="0" xfId="0" applyNumberFormat="1" applyFont="1" applyAlignment="1" applyProtection="1">
      <alignment horizontal="right"/>
      <protection locked="0"/>
    </xf>
    <xf numFmtId="0" fontId="30" fillId="0" borderId="0" xfId="14" applyFont="1" applyFill="1" applyBorder="1" applyAlignment="1"/>
    <xf numFmtId="3" fontId="30" fillId="0" borderId="0" xfId="14" applyNumberFormat="1" applyFont="1" applyFill="1" applyBorder="1" applyAlignment="1"/>
    <xf numFmtId="194" fontId="30" fillId="0" borderId="0" xfId="14" applyNumberFormat="1" applyFont="1" applyFill="1" applyAlignment="1"/>
    <xf numFmtId="0" fontId="30" fillId="0" borderId="0" xfId="14" applyFont="1" applyFill="1" applyAlignment="1"/>
    <xf numFmtId="0" fontId="32" fillId="0" borderId="0" xfId="14" applyFont="1" applyFill="1" applyBorder="1" applyAlignment="1"/>
    <xf numFmtId="0" fontId="32" fillId="0" borderId="0" xfId="14" applyNumberFormat="1" applyFont="1" applyFill="1" applyAlignment="1" applyProtection="1">
      <protection locked="0"/>
    </xf>
    <xf numFmtId="0" fontId="1" fillId="0" borderId="67" xfId="13" applyFont="1" applyBorder="1" applyAlignment="1">
      <alignment horizontal="center"/>
    </xf>
    <xf numFmtId="0" fontId="8" fillId="10" borderId="0" xfId="14" applyFont="1" applyFill="1" applyAlignment="1"/>
    <xf numFmtId="178" fontId="8" fillId="14" borderId="0" xfId="14" applyNumberFormat="1" applyFont="1" applyFill="1" applyAlignment="1">
      <alignment horizontal="left"/>
    </xf>
    <xf numFmtId="0" fontId="28" fillId="0" borderId="0" xfId="14" applyNumberFormat="1" applyFont="1" applyFill="1" applyAlignment="1" applyProtection="1">
      <protection locked="0"/>
    </xf>
    <xf numFmtId="0" fontId="1" fillId="0" borderId="281" xfId="13" applyFont="1" applyBorder="1" applyAlignment="1"/>
    <xf numFmtId="222" fontId="8" fillId="0" borderId="0" xfId="14" applyNumberFormat="1" applyFont="1" applyFill="1" applyAlignment="1" applyProtection="1">
      <protection locked="0"/>
    </xf>
    <xf numFmtId="0" fontId="0" fillId="0" borderId="0" xfId="0" applyNumberFormat="1" applyFont="1" applyAlignment="1" applyProtection="1">
      <alignment wrapText="1"/>
      <protection locked="0"/>
    </xf>
    <xf numFmtId="38" fontId="8" fillId="0" borderId="0" xfId="10" applyFont="1" applyAlignment="1" applyProtection="1">
      <protection locked="0"/>
    </xf>
    <xf numFmtId="38" fontId="8" fillId="0" borderId="0" xfId="17" applyNumberFormat="1" applyFont="1" applyAlignment="1" applyProtection="1">
      <alignment shrinkToFit="1"/>
      <protection locked="0"/>
    </xf>
    <xf numFmtId="0" fontId="7" fillId="10" borderId="282" xfId="0" applyNumberFormat="1" applyFont="1" applyFill="1" applyBorder="1" applyAlignment="1" applyProtection="1">
      <protection locked="0"/>
    </xf>
    <xf numFmtId="0" fontId="7" fillId="10" borderId="3" xfId="0" applyNumberFormat="1" applyFont="1" applyFill="1" applyBorder="1" applyAlignment="1" applyProtection="1">
      <protection locked="0"/>
    </xf>
    <xf numFmtId="0" fontId="7" fillId="10" borderId="6" xfId="0" applyNumberFormat="1" applyFont="1" applyFill="1" applyBorder="1" applyAlignment="1" applyProtection="1">
      <alignment horizontal="center"/>
      <protection locked="0"/>
    </xf>
    <xf numFmtId="0" fontId="7" fillId="10" borderId="283" xfId="0" applyNumberFormat="1" applyFont="1" applyFill="1" applyBorder="1" applyAlignment="1" applyProtection="1">
      <protection locked="0"/>
    </xf>
    <xf numFmtId="0" fontId="7" fillId="10" borderId="284" xfId="0" applyNumberFormat="1" applyFont="1" applyFill="1" applyBorder="1" applyAlignment="1" applyProtection="1">
      <protection locked="0"/>
    </xf>
    <xf numFmtId="0" fontId="7" fillId="10" borderId="285" xfId="0" applyNumberFormat="1" applyFont="1" applyFill="1" applyBorder="1" applyAlignment="1" applyProtection="1">
      <protection locked="0"/>
    </xf>
    <xf numFmtId="0" fontId="7" fillId="10" borderId="286" xfId="0" applyNumberFormat="1" applyFont="1" applyFill="1" applyBorder="1" applyAlignment="1" applyProtection="1">
      <protection locked="0"/>
    </xf>
    <xf numFmtId="0" fontId="7" fillId="10" borderId="287" xfId="0" applyNumberFormat="1" applyFont="1" applyFill="1" applyBorder="1" applyAlignment="1" applyProtection="1">
      <protection locked="0"/>
    </xf>
    <xf numFmtId="0" fontId="7" fillId="10" borderId="288" xfId="0" applyNumberFormat="1" applyFont="1" applyFill="1" applyBorder="1" applyAlignment="1" applyProtection="1">
      <protection locked="0"/>
    </xf>
    <xf numFmtId="0" fontId="7" fillId="10" borderId="289" xfId="0" applyNumberFormat="1" applyFont="1" applyFill="1" applyBorder="1" applyAlignment="1" applyProtection="1">
      <protection locked="0"/>
    </xf>
    <xf numFmtId="0" fontId="7" fillId="10" borderId="290" xfId="0" applyNumberFormat="1" applyFont="1" applyFill="1" applyBorder="1" applyAlignment="1" applyProtection="1">
      <protection locked="0"/>
    </xf>
    <xf numFmtId="0" fontId="7" fillId="10" borderId="291" xfId="0" applyNumberFormat="1" applyFont="1" applyFill="1" applyBorder="1" applyAlignment="1" applyProtection="1">
      <protection locked="0"/>
    </xf>
    <xf numFmtId="0" fontId="7" fillId="10" borderId="292" xfId="0" applyNumberFormat="1" applyFont="1" applyFill="1" applyBorder="1" applyAlignment="1" applyProtection="1">
      <protection locked="0"/>
    </xf>
    <xf numFmtId="0" fontId="7" fillId="10" borderId="293" xfId="0" applyNumberFormat="1" applyFont="1" applyFill="1" applyBorder="1" applyAlignment="1" applyProtection="1">
      <protection locked="0"/>
    </xf>
    <xf numFmtId="0" fontId="7" fillId="10" borderId="294" xfId="0" applyNumberFormat="1" applyFont="1" applyFill="1" applyBorder="1" applyAlignment="1" applyProtection="1">
      <protection locked="0"/>
    </xf>
    <xf numFmtId="0" fontId="7" fillId="10" borderId="295" xfId="0" applyNumberFormat="1" applyFont="1" applyFill="1" applyBorder="1" applyAlignment="1" applyProtection="1">
      <protection locked="0"/>
    </xf>
    <xf numFmtId="0" fontId="7" fillId="10" borderId="296" xfId="0" applyNumberFormat="1" applyFont="1" applyFill="1" applyBorder="1" applyAlignment="1" applyProtection="1">
      <protection locked="0"/>
    </xf>
    <xf numFmtId="0" fontId="7" fillId="10" borderId="297" xfId="0" applyNumberFormat="1" applyFont="1" applyFill="1" applyBorder="1" applyAlignment="1" applyProtection="1">
      <protection locked="0"/>
    </xf>
    <xf numFmtId="0" fontId="7" fillId="10" borderId="298" xfId="0" applyNumberFormat="1" applyFont="1" applyFill="1" applyBorder="1" applyAlignment="1" applyProtection="1">
      <protection locked="0"/>
    </xf>
    <xf numFmtId="0" fontId="7" fillId="10" borderId="299" xfId="0" applyNumberFormat="1" applyFont="1" applyFill="1" applyBorder="1" applyAlignment="1" applyProtection="1">
      <protection locked="0"/>
    </xf>
    <xf numFmtId="0" fontId="7" fillId="10" borderId="300" xfId="0" applyNumberFormat="1" applyFont="1" applyFill="1" applyBorder="1" applyAlignment="1" applyProtection="1">
      <protection locked="0"/>
    </xf>
    <xf numFmtId="0" fontId="7" fillId="10" borderId="301" xfId="0" applyNumberFormat="1" applyFont="1" applyFill="1" applyBorder="1" applyAlignment="1" applyProtection="1">
      <protection locked="0"/>
    </xf>
    <xf numFmtId="0" fontId="7" fillId="10" borderId="302" xfId="0" applyNumberFormat="1" applyFont="1" applyFill="1" applyBorder="1" applyAlignment="1" applyProtection="1">
      <protection locked="0"/>
    </xf>
    <xf numFmtId="0" fontId="7" fillId="10" borderId="303" xfId="0" applyNumberFormat="1" applyFont="1" applyFill="1" applyBorder="1" applyAlignment="1" applyProtection="1">
      <protection locked="0"/>
    </xf>
    <xf numFmtId="0" fontId="7" fillId="10" borderId="156" xfId="0" applyNumberFormat="1" applyFont="1" applyFill="1" applyBorder="1" applyAlignment="1" applyProtection="1">
      <protection locked="0"/>
    </xf>
    <xf numFmtId="0" fontId="7" fillId="10" borderId="155" xfId="0" applyNumberFormat="1" applyFont="1" applyFill="1" applyBorder="1" applyAlignment="1" applyProtection="1">
      <protection locked="0"/>
    </xf>
    <xf numFmtId="0" fontId="7" fillId="10" borderId="304" xfId="0" applyNumberFormat="1" applyFont="1" applyFill="1" applyBorder="1" applyAlignment="1" applyProtection="1">
      <protection locked="0"/>
    </xf>
    <xf numFmtId="0" fontId="7" fillId="10" borderId="305" xfId="0" applyNumberFormat="1" applyFont="1" applyFill="1" applyBorder="1" applyAlignment="1" applyProtection="1">
      <protection locked="0"/>
    </xf>
    <xf numFmtId="0" fontId="7" fillId="10" borderId="306" xfId="0" applyNumberFormat="1" applyFont="1" applyFill="1" applyBorder="1" applyAlignment="1" applyProtection="1">
      <protection locked="0"/>
    </xf>
    <xf numFmtId="0" fontId="7" fillId="10" borderId="307" xfId="0" applyNumberFormat="1" applyFont="1" applyFill="1" applyBorder="1" applyAlignment="1" applyProtection="1">
      <protection locked="0"/>
    </xf>
    <xf numFmtId="0" fontId="7" fillId="10" borderId="308" xfId="0" applyNumberFormat="1" applyFont="1" applyFill="1" applyBorder="1" applyAlignment="1" applyProtection="1">
      <protection locked="0"/>
    </xf>
    <xf numFmtId="0" fontId="7" fillId="10" borderId="309" xfId="0" applyNumberFormat="1" applyFont="1" applyFill="1" applyBorder="1" applyAlignment="1" applyProtection="1">
      <protection locked="0"/>
    </xf>
    <xf numFmtId="0" fontId="7" fillId="10" borderId="310" xfId="0" applyNumberFormat="1" applyFont="1" applyFill="1" applyBorder="1" applyAlignment="1" applyProtection="1">
      <protection locked="0"/>
    </xf>
    <xf numFmtId="0" fontId="7" fillId="10" borderId="311" xfId="0" applyNumberFormat="1" applyFont="1" applyFill="1" applyBorder="1" applyAlignment="1" applyProtection="1">
      <protection locked="0"/>
    </xf>
    <xf numFmtId="0" fontId="7" fillId="10" borderId="312" xfId="0" applyNumberFormat="1" applyFont="1" applyFill="1" applyBorder="1" applyAlignment="1" applyProtection="1">
      <protection locked="0"/>
    </xf>
    <xf numFmtId="0" fontId="7" fillId="10" borderId="313" xfId="0" applyNumberFormat="1" applyFont="1" applyFill="1" applyBorder="1" applyAlignment="1" applyProtection="1">
      <protection locked="0"/>
    </xf>
    <xf numFmtId="0" fontId="14" fillId="10" borderId="4" xfId="0" applyNumberFormat="1" applyFont="1" applyFill="1" applyBorder="1" applyAlignment="1" applyProtection="1">
      <protection locked="0"/>
    </xf>
    <xf numFmtId="0" fontId="7" fillId="10" borderId="53" xfId="0" applyNumberFormat="1" applyFont="1" applyFill="1" applyBorder="1" applyAlignment="1" applyProtection="1">
      <protection locked="0"/>
    </xf>
    <xf numFmtId="0" fontId="7" fillId="10" borderId="98" xfId="0" applyNumberFormat="1" applyFont="1" applyFill="1" applyBorder="1" applyAlignment="1" applyProtection="1">
      <protection locked="0"/>
    </xf>
    <xf numFmtId="0" fontId="7" fillId="10" borderId="99" xfId="0" applyNumberFormat="1" applyFont="1" applyFill="1" applyBorder="1" applyAlignment="1" applyProtection="1">
      <protection locked="0"/>
    </xf>
    <xf numFmtId="0" fontId="7" fillId="10" borderId="100" xfId="0" applyNumberFormat="1" applyFont="1" applyFill="1" applyBorder="1" applyAlignment="1" applyProtection="1">
      <protection locked="0"/>
    </xf>
    <xf numFmtId="0" fontId="7" fillId="15" borderId="286" xfId="0" applyNumberFormat="1" applyFont="1" applyFill="1" applyBorder="1" applyAlignment="1" applyProtection="1">
      <protection locked="0"/>
    </xf>
    <xf numFmtId="0" fontId="7" fillId="15" borderId="287" xfId="0" applyNumberFormat="1" applyFont="1" applyFill="1" applyBorder="1" applyAlignment="1" applyProtection="1">
      <protection locked="0"/>
    </xf>
    <xf numFmtId="0" fontId="7" fillId="15" borderId="289" xfId="0" applyNumberFormat="1" applyFont="1" applyFill="1" applyBorder="1" applyAlignment="1" applyProtection="1">
      <protection locked="0"/>
    </xf>
    <xf numFmtId="0" fontId="7" fillId="15" borderId="290" xfId="0" applyNumberFormat="1" applyFont="1" applyFill="1" applyBorder="1" applyAlignment="1" applyProtection="1">
      <protection locked="0"/>
    </xf>
    <xf numFmtId="0" fontId="7" fillId="15" borderId="288" xfId="0" applyNumberFormat="1" applyFont="1" applyFill="1" applyBorder="1" applyAlignment="1" applyProtection="1">
      <protection locked="0"/>
    </xf>
    <xf numFmtId="0" fontId="7" fillId="10" borderId="101" xfId="0" applyNumberFormat="1" applyFont="1" applyFill="1" applyBorder="1" applyAlignment="1" applyProtection="1">
      <protection locked="0"/>
    </xf>
    <xf numFmtId="0" fontId="7" fillId="10" borderId="102" xfId="0" applyNumberFormat="1" applyFont="1" applyFill="1" applyBorder="1" applyAlignment="1" applyProtection="1">
      <protection locked="0"/>
    </xf>
    <xf numFmtId="0" fontId="7" fillId="10" borderId="103" xfId="0" applyNumberFormat="1" applyFont="1" applyFill="1" applyBorder="1" applyAlignment="1" applyProtection="1">
      <protection locked="0"/>
    </xf>
    <xf numFmtId="0" fontId="7" fillId="15" borderId="301" xfId="0" applyNumberFormat="1" applyFont="1" applyFill="1" applyBorder="1" applyAlignment="1" applyProtection="1">
      <protection locked="0"/>
    </xf>
    <xf numFmtId="0" fontId="7" fillId="15" borderId="299" xfId="0" applyNumberFormat="1" applyFont="1" applyFill="1" applyBorder="1" applyAlignment="1" applyProtection="1">
      <protection locked="0"/>
    </xf>
    <xf numFmtId="0" fontId="7" fillId="15" borderId="300" xfId="0" applyNumberFormat="1" applyFont="1" applyFill="1" applyBorder="1" applyAlignment="1" applyProtection="1">
      <protection locked="0"/>
    </xf>
    <xf numFmtId="0" fontId="7" fillId="15" borderId="302" xfId="0" applyNumberFormat="1" applyFont="1" applyFill="1" applyBorder="1" applyAlignment="1" applyProtection="1">
      <protection locked="0"/>
    </xf>
    <xf numFmtId="0" fontId="7" fillId="15" borderId="303" xfId="0" applyNumberFormat="1" applyFont="1" applyFill="1" applyBorder="1" applyAlignment="1" applyProtection="1">
      <protection locked="0"/>
    </xf>
    <xf numFmtId="38" fontId="7" fillId="10" borderId="156" xfId="10" applyFont="1" applyFill="1" applyBorder="1" applyAlignment="1" applyProtection="1">
      <protection locked="0"/>
    </xf>
    <xf numFmtId="0" fontId="15" fillId="12" borderId="314" xfId="0" applyNumberFormat="1" applyFont="1" applyFill="1" applyBorder="1" applyAlignment="1" applyProtection="1"/>
    <xf numFmtId="0" fontId="1" fillId="0" borderId="0" xfId="0" applyNumberFormat="1" applyFont="1" applyAlignment="1" applyProtection="1">
      <alignment horizontal="right"/>
    </xf>
    <xf numFmtId="0" fontId="1" fillId="0" borderId="0" xfId="0" applyNumberFormat="1" applyFont="1" applyAlignment="1" applyProtection="1"/>
    <xf numFmtId="0" fontId="3" fillId="0" borderId="0" xfId="0" applyNumberFormat="1" applyFont="1" applyBorder="1" applyAlignment="1" applyProtection="1"/>
    <xf numFmtId="0" fontId="15" fillId="12" borderId="315" xfId="0" applyNumberFormat="1" applyFont="1" applyFill="1" applyBorder="1" applyAlignment="1" applyProtection="1"/>
    <xf numFmtId="0" fontId="4" fillId="0" borderId="0" xfId="0" applyNumberFormat="1" applyFont="1" applyFill="1" applyAlignment="1" applyProtection="1"/>
    <xf numFmtId="0" fontId="1" fillId="0" borderId="0" xfId="0" applyNumberFormat="1" applyFont="1" applyFill="1" applyBorder="1" applyAlignment="1" applyProtection="1"/>
    <xf numFmtId="0" fontId="4" fillId="12" borderId="315" xfId="0" applyNumberFormat="1" applyFont="1" applyFill="1" applyBorder="1" applyAlignment="1" applyProtection="1"/>
    <xf numFmtId="0" fontId="1" fillId="0" borderId="0" xfId="0" applyNumberFormat="1" applyFont="1" applyFill="1" applyAlignment="1" applyProtection="1">
      <alignment horizontal="right"/>
    </xf>
    <xf numFmtId="0" fontId="3" fillId="0" borderId="0" xfId="0" applyNumberFormat="1" applyFont="1" applyAlignment="1" applyProtection="1">
      <alignment horizontal="right"/>
    </xf>
    <xf numFmtId="0" fontId="3" fillId="0" borderId="0" xfId="0" applyNumberFormat="1" applyFont="1" applyFill="1" applyBorder="1" applyAlignment="1" applyProtection="1"/>
    <xf numFmtId="0" fontId="3" fillId="0" borderId="0" xfId="0" applyNumberFormat="1" applyFont="1" applyFill="1" applyBorder="1" applyAlignment="1" applyProtection="1">
      <alignment horizontal="right"/>
    </xf>
    <xf numFmtId="0" fontId="3" fillId="0" borderId="0" xfId="0" applyNumberFormat="1" applyFont="1" applyAlignment="1" applyProtection="1">
      <alignment horizontal="center"/>
    </xf>
    <xf numFmtId="0" fontId="3" fillId="0" borderId="0" xfId="0" applyNumberFormat="1" applyFont="1" applyBorder="1" applyAlignment="1" applyProtection="1">
      <alignment horizontal="right"/>
    </xf>
    <xf numFmtId="0" fontId="1" fillId="0" borderId="41" xfId="0" applyNumberFormat="1" applyFont="1" applyBorder="1" applyAlignment="1" applyProtection="1"/>
    <xf numFmtId="0" fontId="3" fillId="0" borderId="2" xfId="0" applyNumberFormat="1" applyFont="1" applyBorder="1" applyAlignment="1" applyProtection="1"/>
    <xf numFmtId="0" fontId="1" fillId="0" borderId="0" xfId="0" applyNumberFormat="1" applyFont="1" applyBorder="1" applyAlignment="1" applyProtection="1"/>
    <xf numFmtId="0" fontId="3" fillId="0" borderId="0" xfId="0" applyNumberFormat="1" applyFont="1" applyAlignment="1" applyProtection="1"/>
    <xf numFmtId="0" fontId="5" fillId="0" borderId="0" xfId="0" applyNumberFormat="1" applyFont="1" applyAlignment="1" applyProtection="1"/>
    <xf numFmtId="0" fontId="3" fillId="0" borderId="0" xfId="0" applyNumberFormat="1" applyFont="1" applyAlignment="1" applyProtection="1">
      <alignment horizontal="centerContinuous"/>
    </xf>
    <xf numFmtId="189" fontId="1" fillId="0" borderId="3" xfId="10" applyNumberFormat="1" applyFont="1" applyBorder="1" applyAlignment="1" applyProtection="1"/>
    <xf numFmtId="0" fontId="7" fillId="0" borderId="4" xfId="0" applyNumberFormat="1" applyFont="1" applyBorder="1" applyAlignment="1" applyProtection="1">
      <alignment horizontal="center"/>
    </xf>
    <xf numFmtId="0" fontId="4" fillId="0" borderId="0" xfId="0" applyNumberFormat="1" applyFont="1" applyAlignment="1" applyProtection="1"/>
    <xf numFmtId="0" fontId="56" fillId="0" borderId="0" xfId="0" applyNumberFormat="1" applyFont="1" applyAlignment="1" applyProtection="1"/>
    <xf numFmtId="0" fontId="6" fillId="0" borderId="0" xfId="0" applyNumberFormat="1" applyFont="1" applyAlignment="1" applyProtection="1"/>
    <xf numFmtId="0" fontId="3" fillId="0" borderId="5" xfId="0" applyNumberFormat="1" applyFont="1" applyBorder="1" applyAlignment="1" applyProtection="1">
      <alignment horizontal="left"/>
    </xf>
    <xf numFmtId="0" fontId="57" fillId="0" borderId="316" xfId="0" applyNumberFormat="1" applyFont="1" applyFill="1" applyBorder="1" applyAlignment="1" applyProtection="1"/>
    <xf numFmtId="0" fontId="57" fillId="0" borderId="317" xfId="0" applyNumberFormat="1" applyFont="1" applyFill="1" applyBorder="1" applyAlignment="1" applyProtection="1"/>
    <xf numFmtId="0" fontId="57" fillId="0" borderId="318" xfId="0" applyNumberFormat="1" applyFont="1" applyFill="1" applyBorder="1" applyAlignment="1" applyProtection="1"/>
    <xf numFmtId="0" fontId="57" fillId="0" borderId="0" xfId="0" applyNumberFormat="1" applyFont="1" applyBorder="1" applyAlignment="1" applyProtection="1"/>
    <xf numFmtId="0" fontId="3" fillId="0" borderId="5" xfId="0" applyNumberFormat="1" applyFont="1" applyBorder="1" applyAlignment="1" applyProtection="1"/>
    <xf numFmtId="0" fontId="57" fillId="0" borderId="319" xfId="0" applyNumberFormat="1" applyFont="1" applyFill="1" applyBorder="1" applyAlignment="1" applyProtection="1">
      <alignment horizontal="left"/>
    </xf>
    <xf numFmtId="0" fontId="57" fillId="0" borderId="320" xfId="0" applyNumberFormat="1" applyFont="1" applyFill="1" applyBorder="1" applyAlignment="1" applyProtection="1"/>
    <xf numFmtId="0" fontId="57" fillId="0" borderId="319" xfId="0" applyNumberFormat="1" applyFont="1" applyFill="1" applyBorder="1" applyAlignment="1" applyProtection="1"/>
    <xf numFmtId="0" fontId="57" fillId="0" borderId="321" xfId="0" applyNumberFormat="1" applyFont="1" applyFill="1" applyBorder="1" applyAlignment="1" applyProtection="1"/>
    <xf numFmtId="0" fontId="1" fillId="0" borderId="0" xfId="0" applyNumberFormat="1" applyFont="1" applyFill="1" applyAlignment="1" applyProtection="1">
      <alignment horizontal="left"/>
    </xf>
    <xf numFmtId="0" fontId="3" fillId="0" borderId="4" xfId="0" applyNumberFormat="1" applyFont="1" applyBorder="1" applyAlignment="1" applyProtection="1">
      <alignment horizontal="left"/>
    </xf>
    <xf numFmtId="0" fontId="57" fillId="0" borderId="301" xfId="0" applyNumberFormat="1" applyFont="1" applyFill="1" applyBorder="1" applyAlignment="1" applyProtection="1"/>
    <xf numFmtId="0" fontId="57" fillId="0" borderId="299" xfId="0" applyNumberFormat="1" applyFont="1" applyFill="1" applyBorder="1" applyAlignment="1" applyProtection="1"/>
    <xf numFmtId="0" fontId="57" fillId="0" borderId="300" xfId="0" applyNumberFormat="1" applyFont="1" applyFill="1" applyBorder="1" applyAlignment="1" applyProtection="1"/>
    <xf numFmtId="0" fontId="57" fillId="0" borderId="302" xfId="0" applyNumberFormat="1" applyFont="1" applyFill="1" applyBorder="1" applyAlignment="1" applyProtection="1"/>
    <xf numFmtId="0" fontId="4" fillId="12" borderId="315" xfId="0" quotePrefix="1" applyNumberFormat="1" applyFont="1" applyFill="1" applyBorder="1" applyAlignment="1" applyProtection="1">
      <alignment horizontal="left"/>
    </xf>
    <xf numFmtId="0" fontId="6" fillId="0" borderId="0" xfId="0" applyNumberFormat="1" applyFont="1" applyBorder="1" applyAlignment="1" applyProtection="1"/>
    <xf numFmtId="0" fontId="4" fillId="12" borderId="315" xfId="0" applyNumberFormat="1" applyFont="1" applyFill="1" applyBorder="1" applyAlignment="1" applyProtection="1">
      <alignment horizontal="left"/>
    </xf>
    <xf numFmtId="0" fontId="56" fillId="0" borderId="0" xfId="0" applyNumberFormat="1" applyFont="1" applyBorder="1" applyAlignment="1" applyProtection="1"/>
    <xf numFmtId="0" fontId="3" fillId="0" borderId="4" xfId="0" applyNumberFormat="1" applyFont="1" applyBorder="1" applyAlignment="1" applyProtection="1"/>
    <xf numFmtId="0" fontId="1" fillId="12" borderId="315" xfId="0" applyNumberFormat="1" applyFont="1" applyFill="1" applyBorder="1" applyAlignment="1" applyProtection="1"/>
    <xf numFmtId="0" fontId="1" fillId="0" borderId="5" xfId="0" applyNumberFormat="1" applyFont="1" applyBorder="1" applyAlignment="1" applyProtection="1"/>
    <xf numFmtId="0" fontId="47" fillId="0" borderId="0" xfId="0" applyNumberFormat="1" applyFont="1" applyFill="1" applyBorder="1" applyAlignment="1" applyProtection="1"/>
    <xf numFmtId="0" fontId="62" fillId="0" borderId="0" xfId="0" applyNumberFormat="1" applyFont="1" applyFill="1" applyBorder="1" applyAlignment="1" applyProtection="1"/>
    <xf numFmtId="9" fontId="1" fillId="0" borderId="0" xfId="0" applyNumberFormat="1" applyFont="1" applyFill="1" applyBorder="1" applyAlignment="1" applyProtection="1"/>
    <xf numFmtId="9" fontId="1" fillId="0" borderId="0" xfId="0" applyNumberFormat="1" applyFont="1" applyFill="1" applyBorder="1" applyAlignment="1" applyProtection="1">
      <alignment vertical="center"/>
    </xf>
    <xf numFmtId="0" fontId="1" fillId="0" borderId="0" xfId="0" applyNumberFormat="1" applyFont="1" applyFill="1" applyBorder="1" applyAlignment="1" applyProtection="1">
      <alignment vertical="center"/>
    </xf>
    <xf numFmtId="0" fontId="1" fillId="0" borderId="0" xfId="0" applyNumberFormat="1" applyFont="1" applyAlignment="1" applyProtection="1">
      <alignment horizontal="centerContinuous"/>
    </xf>
    <xf numFmtId="0" fontId="7" fillId="0" borderId="0" xfId="0" applyNumberFormat="1" applyFont="1" applyAlignment="1" applyProtection="1"/>
    <xf numFmtId="0" fontId="7" fillId="0" borderId="0" xfId="0" applyNumberFormat="1" applyFont="1" applyBorder="1" applyAlignment="1" applyProtection="1"/>
    <xf numFmtId="0" fontId="3" fillId="0" borderId="0" xfId="0" applyNumberFormat="1" applyFont="1" applyAlignment="1" applyProtection="1">
      <alignment horizontal="left"/>
    </xf>
    <xf numFmtId="0" fontId="1" fillId="0" borderId="0" xfId="0" applyNumberFormat="1" applyFont="1" applyAlignment="1" applyProtection="1">
      <alignment horizontal="center"/>
    </xf>
    <xf numFmtId="0" fontId="1" fillId="0" borderId="0" xfId="0" quotePrefix="1" applyNumberFormat="1" applyFont="1" applyAlignment="1" applyProtection="1">
      <alignment horizontal="left"/>
    </xf>
    <xf numFmtId="0" fontId="57" fillId="0" borderId="0" xfId="0" applyNumberFormat="1" applyFont="1" applyAlignment="1" applyProtection="1"/>
    <xf numFmtId="0" fontId="1" fillId="0" borderId="0" xfId="0" applyNumberFormat="1" applyFont="1" applyFill="1" applyBorder="1" applyAlignment="1" applyProtection="1">
      <alignment horizontal="left"/>
    </xf>
    <xf numFmtId="0" fontId="7" fillId="0" borderId="106" xfId="0" applyNumberFormat="1" applyFont="1" applyFill="1" applyBorder="1" applyAlignment="1" applyProtection="1"/>
    <xf numFmtId="0" fontId="1" fillId="0" borderId="239" xfId="0" applyNumberFormat="1" applyFont="1" applyBorder="1" applyAlignment="1" applyProtection="1">
      <alignment horizontal="center"/>
    </xf>
    <xf numFmtId="0" fontId="1" fillId="0" borderId="322" xfId="0" applyNumberFormat="1" applyFont="1" applyBorder="1" applyAlignment="1" applyProtection="1">
      <alignment horizontal="center"/>
    </xf>
    <xf numFmtId="0" fontId="1" fillId="0" borderId="45" xfId="0" applyNumberFormat="1" applyFont="1" applyBorder="1" applyAlignment="1" applyProtection="1">
      <alignment horizontal="center" shrinkToFit="1"/>
    </xf>
    <xf numFmtId="0" fontId="7" fillId="0" borderId="323" xfId="0" quotePrefix="1" applyNumberFormat="1" applyFont="1" applyFill="1" applyBorder="1" applyAlignment="1" applyProtection="1"/>
    <xf numFmtId="0" fontId="7" fillId="0" borderId="307" xfId="0" quotePrefix="1" applyNumberFormat="1" applyFont="1" applyFill="1" applyBorder="1" applyAlignment="1" applyProtection="1"/>
    <xf numFmtId="0" fontId="4" fillId="0" borderId="324" xfId="0" applyNumberFormat="1" applyFont="1" applyBorder="1" applyAlignment="1" applyProtection="1"/>
    <xf numFmtId="0" fontId="1" fillId="0" borderId="325" xfId="0" applyNumberFormat="1" applyFont="1" applyBorder="1" applyAlignment="1" applyProtection="1"/>
    <xf numFmtId="0" fontId="4" fillId="0" borderId="325" xfId="0" applyNumberFormat="1" applyFont="1" applyBorder="1" applyAlignment="1" applyProtection="1"/>
    <xf numFmtId="0" fontId="1" fillId="0" borderId="326" xfId="0" applyNumberFormat="1" applyFont="1" applyBorder="1" applyAlignment="1" applyProtection="1"/>
    <xf numFmtId="0" fontId="4" fillId="0" borderId="327" xfId="0" applyNumberFormat="1" applyFont="1" applyFill="1" applyBorder="1" applyAlignment="1" applyProtection="1"/>
    <xf numFmtId="0" fontId="4" fillId="0" borderId="327" xfId="0" applyNumberFormat="1" applyFont="1" applyBorder="1" applyAlignment="1" applyProtection="1"/>
    <xf numFmtId="0" fontId="3" fillId="0" borderId="6" xfId="0" applyNumberFormat="1" applyFont="1" applyBorder="1" applyAlignment="1" applyProtection="1"/>
    <xf numFmtId="9" fontId="1" fillId="0" borderId="0" xfId="0" applyNumberFormat="1" applyFont="1" applyBorder="1" applyAlignment="1" applyProtection="1"/>
    <xf numFmtId="177" fontId="1" fillId="0" borderId="0" xfId="0" applyNumberFormat="1" applyFont="1" applyAlignment="1" applyProtection="1"/>
    <xf numFmtId="0" fontId="1" fillId="0" borderId="6" xfId="0" applyNumberFormat="1" applyFont="1" applyBorder="1" applyAlignment="1" applyProtection="1"/>
    <xf numFmtId="0" fontId="4" fillId="0" borderId="0" xfId="0" applyNumberFormat="1" applyFont="1" applyBorder="1" applyAlignment="1" applyProtection="1"/>
    <xf numFmtId="0" fontId="1" fillId="12" borderId="328" xfId="0" applyNumberFormat="1" applyFont="1" applyFill="1" applyBorder="1" applyAlignment="1" applyProtection="1"/>
    <xf numFmtId="0" fontId="57" fillId="0" borderId="329" xfId="0" applyNumberFormat="1" applyFont="1" applyFill="1" applyBorder="1" applyAlignment="1" applyProtection="1"/>
    <xf numFmtId="0" fontId="57" fillId="0" borderId="330" xfId="0" applyNumberFormat="1" applyFont="1" applyFill="1" applyBorder="1" applyAlignment="1" applyProtection="1"/>
    <xf numFmtId="0" fontId="57" fillId="0" borderId="331" xfId="0" applyNumberFormat="1" applyFont="1" applyFill="1" applyBorder="1" applyAlignment="1" applyProtection="1"/>
    <xf numFmtId="0" fontId="1" fillId="0" borderId="332" xfId="0" applyNumberFormat="1" applyFont="1" applyFill="1" applyBorder="1" applyAlignment="1" applyProtection="1">
      <alignment horizontal="center"/>
    </xf>
    <xf numFmtId="0" fontId="1" fillId="0" borderId="333" xfId="0" applyNumberFormat="1" applyFont="1" applyFill="1" applyBorder="1" applyAlignment="1" applyProtection="1">
      <alignment horizontal="center"/>
    </xf>
    <xf numFmtId="0" fontId="1" fillId="0" borderId="334" xfId="0" applyNumberFormat="1" applyFont="1" applyFill="1" applyBorder="1" applyAlignment="1" applyProtection="1">
      <alignment horizontal="center"/>
    </xf>
    <xf numFmtId="0" fontId="1" fillId="0" borderId="105" xfId="0" applyNumberFormat="1" applyFont="1" applyFill="1" applyBorder="1" applyAlignment="1" applyProtection="1"/>
    <xf numFmtId="0" fontId="7" fillId="0" borderId="0" xfId="0" applyNumberFormat="1" applyFont="1" applyFill="1" applyBorder="1" applyAlignment="1" applyProtection="1"/>
    <xf numFmtId="38" fontId="1" fillId="0" borderId="155" xfId="10" applyFont="1" applyBorder="1" applyAlignment="1" applyProtection="1"/>
    <xf numFmtId="38" fontId="1" fillId="0" borderId="54" xfId="10" applyFont="1" applyBorder="1" applyAlignment="1" applyProtection="1"/>
    <xf numFmtId="0" fontId="1" fillId="0" borderId="0" xfId="0" applyNumberFormat="1" applyFont="1" applyAlignment="1" applyProtection="1">
      <alignment wrapText="1"/>
    </xf>
    <xf numFmtId="0" fontId="59" fillId="0" borderId="0" xfId="19" applyNumberFormat="1" applyFont="1" applyAlignment="1" applyProtection="1"/>
    <xf numFmtId="0" fontId="1" fillId="0" borderId="0" xfId="19" applyNumberFormat="1" applyFont="1" applyAlignment="1" applyProtection="1"/>
    <xf numFmtId="0" fontId="16" fillId="0" borderId="0" xfId="0" applyNumberFormat="1" applyFont="1" applyFill="1" applyAlignment="1" applyProtection="1"/>
    <xf numFmtId="0" fontId="16" fillId="0" borderId="0" xfId="19" applyFont="1" applyAlignment="1" applyProtection="1">
      <alignment vertical="center"/>
    </xf>
    <xf numFmtId="0" fontId="15" fillId="0" borderId="0" xfId="19" applyFont="1" applyAlignment="1" applyProtection="1">
      <alignment horizontal="center"/>
    </xf>
    <xf numFmtId="0" fontId="15" fillId="0" borderId="0" xfId="19" applyFont="1" applyBorder="1" applyAlignment="1" applyProtection="1">
      <alignment horizontal="center"/>
    </xf>
    <xf numFmtId="0" fontId="1" fillId="0" borderId="0" xfId="19" applyFont="1" applyAlignment="1" applyProtection="1"/>
    <xf numFmtId="0" fontId="15" fillId="0" borderId="0" xfId="19" applyFont="1" applyAlignment="1" applyProtection="1"/>
    <xf numFmtId="4" fontId="15" fillId="0" borderId="0" xfId="19" applyNumberFormat="1" applyFont="1" applyAlignment="1" applyProtection="1"/>
    <xf numFmtId="4" fontId="15" fillId="0" borderId="335" xfId="19" applyNumberFormat="1" applyFont="1" applyFill="1" applyBorder="1" applyAlignment="1" applyProtection="1"/>
    <xf numFmtId="4" fontId="1" fillId="0" borderId="0" xfId="19" applyNumberFormat="1" applyFont="1" applyBorder="1" applyAlignment="1" applyProtection="1">
      <alignment horizontal="center"/>
    </xf>
    <xf numFmtId="4" fontId="15" fillId="0" borderId="336" xfId="19" applyNumberFormat="1" applyFont="1" applyFill="1" applyBorder="1" applyAlignment="1" applyProtection="1"/>
    <xf numFmtId="4" fontId="15" fillId="0" borderId="337" xfId="19" applyNumberFormat="1" applyFont="1" applyFill="1" applyBorder="1" applyAlignment="1" applyProtection="1"/>
    <xf numFmtId="0" fontId="10" fillId="0" borderId="0" xfId="19" applyFont="1" applyAlignment="1" applyProtection="1"/>
    <xf numFmtId="0" fontId="11" fillId="0" borderId="0" xfId="19" applyFont="1" applyBorder="1" applyAlignment="1" applyProtection="1"/>
    <xf numFmtId="4" fontId="15" fillId="0" borderId="6" xfId="19" applyNumberFormat="1" applyFont="1" applyBorder="1" applyAlignment="1" applyProtection="1"/>
    <xf numFmtId="0" fontId="11" fillId="0" borderId="0" xfId="19" applyFont="1" applyAlignment="1" applyProtection="1"/>
    <xf numFmtId="0" fontId="15" fillId="0" borderId="6" xfId="19" applyFont="1" applyBorder="1" applyAlignment="1" applyProtection="1">
      <alignment horizontal="center"/>
    </xf>
    <xf numFmtId="0" fontId="1" fillId="0" borderId="0" xfId="19" applyFont="1" applyAlignment="1" applyProtection="1">
      <alignment horizontal="left"/>
    </xf>
    <xf numFmtId="0" fontId="4" fillId="0" borderId="0" xfId="19" applyFont="1" applyAlignment="1" applyProtection="1"/>
    <xf numFmtId="40" fontId="31" fillId="0" borderId="56" xfId="10" applyNumberFormat="1" applyFont="1" applyBorder="1" applyAlignment="1" applyProtection="1"/>
    <xf numFmtId="40" fontId="31" fillId="0" borderId="3" xfId="10" applyNumberFormat="1" applyFont="1" applyBorder="1" applyAlignment="1" applyProtection="1"/>
    <xf numFmtId="0" fontId="1" fillId="0" borderId="19" xfId="19" applyFont="1" applyBorder="1" applyAlignment="1" applyProtection="1"/>
    <xf numFmtId="4" fontId="15" fillId="0" borderId="4" xfId="19" applyNumberFormat="1" applyFont="1" applyBorder="1" applyAlignment="1" applyProtection="1"/>
    <xf numFmtId="4" fontId="15" fillId="0" borderId="0" xfId="19" applyNumberFormat="1" applyFont="1" applyBorder="1" applyAlignment="1" applyProtection="1"/>
    <xf numFmtId="0" fontId="16" fillId="0" borderId="0" xfId="19" applyFont="1" applyAlignment="1" applyProtection="1"/>
    <xf numFmtId="4" fontId="17" fillId="0" borderId="59" xfId="19" applyNumberFormat="1" applyFont="1" applyFill="1" applyBorder="1" applyAlignment="1" applyProtection="1"/>
    <xf numFmtId="0" fontId="11" fillId="0" borderId="0" xfId="19" applyFont="1" applyAlignment="1" applyProtection="1">
      <alignment horizontal="right"/>
    </xf>
    <xf numFmtId="219" fontId="15" fillId="0" borderId="98" xfId="10" applyNumberFormat="1" applyFont="1" applyBorder="1" applyAlignment="1" applyProtection="1"/>
    <xf numFmtId="219" fontId="15" fillId="0" borderId="99" xfId="10" applyNumberFormat="1" applyFont="1" applyBorder="1" applyAlignment="1" applyProtection="1"/>
    <xf numFmtId="219" fontId="15" fillId="0" borderId="100" xfId="10" applyNumberFormat="1" applyFont="1" applyBorder="1" applyAlignment="1" applyProtection="1"/>
    <xf numFmtId="219" fontId="15" fillId="0" borderId="101" xfId="10" applyNumberFormat="1" applyFont="1" applyBorder="1" applyAlignment="1" applyProtection="1"/>
    <xf numFmtId="219" fontId="15" fillId="0" borderId="102" xfId="10" applyNumberFormat="1" applyFont="1" applyBorder="1" applyAlignment="1" applyProtection="1"/>
    <xf numFmtId="219" fontId="15" fillId="0" borderId="103" xfId="10" applyNumberFormat="1" applyFont="1" applyBorder="1" applyAlignment="1" applyProtection="1"/>
    <xf numFmtId="0" fontId="1" fillId="0" borderId="0" xfId="19" applyNumberFormat="1" applyFont="1" applyBorder="1" applyAlignment="1" applyProtection="1">
      <alignment vertical="center" wrapText="1"/>
    </xf>
    <xf numFmtId="0" fontId="10" fillId="0" borderId="338" xfId="19" applyFont="1" applyBorder="1" applyAlignment="1" applyProtection="1">
      <alignment horizontal="right" vertical="center"/>
    </xf>
    <xf numFmtId="4" fontId="18" fillId="0" borderId="339" xfId="19" applyNumberFormat="1" applyFont="1" applyBorder="1" applyAlignment="1" applyProtection="1">
      <alignment vertical="center"/>
    </xf>
    <xf numFmtId="4" fontId="18" fillId="0" borderId="340" xfId="19" applyNumberFormat="1" applyFont="1" applyBorder="1" applyAlignment="1" applyProtection="1">
      <alignment vertical="center"/>
    </xf>
    <xf numFmtId="183" fontId="11" fillId="0" borderId="0" xfId="19" applyNumberFormat="1" applyFont="1" applyAlignment="1" applyProtection="1"/>
    <xf numFmtId="0" fontId="15" fillId="0" borderId="341" xfId="19" applyFont="1" applyBorder="1" applyAlignment="1" applyProtection="1">
      <alignment vertical="center"/>
    </xf>
    <xf numFmtId="0" fontId="1" fillId="0" borderId="0" xfId="19" applyFont="1" applyBorder="1" applyAlignment="1" applyProtection="1">
      <alignment vertical="center"/>
    </xf>
    <xf numFmtId="0" fontId="1" fillId="0" borderId="342" xfId="19" applyFont="1" applyBorder="1" applyAlignment="1" applyProtection="1">
      <alignment vertical="center"/>
    </xf>
    <xf numFmtId="0" fontId="10" fillId="0" borderId="343" xfId="19" applyFont="1" applyBorder="1" applyAlignment="1" applyProtection="1">
      <alignment horizontal="right" vertical="center"/>
    </xf>
    <xf numFmtId="4" fontId="18" fillId="0" borderId="344" xfId="19" applyNumberFormat="1" applyFont="1" applyBorder="1" applyAlignment="1" applyProtection="1">
      <alignment vertical="center"/>
    </xf>
    <xf numFmtId="4" fontId="18" fillId="0" borderId="345" xfId="19" applyNumberFormat="1" applyFont="1" applyBorder="1" applyAlignment="1" applyProtection="1">
      <alignment vertical="center"/>
    </xf>
    <xf numFmtId="3" fontId="15" fillId="0" borderId="0" xfId="19" applyNumberFormat="1" applyFont="1" applyAlignment="1" applyProtection="1"/>
    <xf numFmtId="38" fontId="15" fillId="0" borderId="346" xfId="19" applyNumberFormat="1" applyFont="1" applyFill="1" applyBorder="1" applyAlignment="1" applyProtection="1"/>
    <xf numFmtId="0" fontId="10" fillId="0" borderId="0" xfId="19" applyFont="1" applyAlignment="1" applyProtection="1">
      <alignment horizontal="left"/>
    </xf>
    <xf numFmtId="4" fontId="80" fillId="0" borderId="0" xfId="19" applyNumberFormat="1" applyFont="1" applyFill="1" applyBorder="1" applyAlignment="1" applyProtection="1"/>
    <xf numFmtId="0" fontId="15" fillId="0" borderId="0" xfId="11" applyNumberFormat="1" applyFont="1" applyAlignment="1" applyProtection="1"/>
    <xf numFmtId="4" fontId="81" fillId="0" borderId="0" xfId="19" applyNumberFormat="1" applyFont="1" applyFill="1" applyBorder="1" applyAlignment="1" applyProtection="1"/>
    <xf numFmtId="0" fontId="15" fillId="0" borderId="246" xfId="19" applyFont="1" applyBorder="1" applyAlignment="1" applyProtection="1">
      <alignment horizontal="center"/>
    </xf>
    <xf numFmtId="0" fontId="15" fillId="0" borderId="105" xfId="19" applyFont="1" applyFill="1" applyBorder="1" applyAlignment="1" applyProtection="1">
      <alignment horizontal="center"/>
    </xf>
    <xf numFmtId="4" fontId="15" fillId="0" borderId="54" xfId="19" applyNumberFormat="1" applyFont="1" applyFill="1" applyBorder="1" applyAlignment="1" applyProtection="1"/>
    <xf numFmtId="4" fontId="15" fillId="0" borderId="105" xfId="19" applyNumberFormat="1" applyFont="1" applyFill="1" applyBorder="1" applyAlignment="1" applyProtection="1"/>
    <xf numFmtId="0" fontId="6" fillId="0" borderId="0" xfId="19" applyFont="1" applyAlignment="1" applyProtection="1"/>
    <xf numFmtId="4" fontId="15" fillId="0" borderId="3" xfId="19" applyNumberFormat="1" applyFont="1" applyFill="1" applyBorder="1" applyAlignment="1" applyProtection="1"/>
    <xf numFmtId="4" fontId="15" fillId="0" borderId="104" xfId="19" applyNumberFormat="1" applyFont="1" applyFill="1" applyBorder="1" applyAlignment="1" applyProtection="1"/>
    <xf numFmtId="4" fontId="15" fillId="0" borderId="0" xfId="19" applyNumberFormat="1" applyFont="1" applyFill="1" applyBorder="1" applyAlignment="1" applyProtection="1"/>
    <xf numFmtId="3" fontId="1" fillId="0" borderId="0" xfId="19" applyNumberFormat="1" applyFont="1" applyAlignment="1" applyProtection="1"/>
    <xf numFmtId="2" fontId="15" fillId="0" borderId="0" xfId="19" applyNumberFormat="1" applyFont="1" applyAlignment="1" applyProtection="1"/>
    <xf numFmtId="0" fontId="11" fillId="0" borderId="0" xfId="19" applyFont="1" applyAlignment="1" applyProtection="1">
      <alignment horizontal="center"/>
    </xf>
    <xf numFmtId="178" fontId="1" fillId="0" borderId="0" xfId="19" applyNumberFormat="1" applyFont="1" applyAlignment="1" applyProtection="1"/>
    <xf numFmtId="4" fontId="17" fillId="10" borderId="347" xfId="19" applyNumberFormat="1" applyFont="1" applyFill="1" applyBorder="1" applyAlignment="1" applyProtection="1">
      <protection locked="0"/>
    </xf>
    <xf numFmtId="4" fontId="17" fillId="10" borderId="283" xfId="19" applyNumberFormat="1" applyFont="1" applyFill="1" applyBorder="1" applyAlignment="1" applyProtection="1">
      <protection locked="0"/>
    </xf>
    <xf numFmtId="4" fontId="17" fillId="14" borderId="348" xfId="19" applyNumberFormat="1" applyFont="1" applyFill="1" applyBorder="1" applyAlignment="1" applyProtection="1">
      <protection locked="0"/>
    </xf>
    <xf numFmtId="4" fontId="17" fillId="14" borderId="349" xfId="19" applyNumberFormat="1" applyFont="1" applyFill="1" applyBorder="1" applyAlignment="1" applyProtection="1">
      <protection locked="0"/>
    </xf>
    <xf numFmtId="4" fontId="17" fillId="14" borderId="350" xfId="19" applyNumberFormat="1" applyFont="1" applyFill="1" applyBorder="1" applyAlignment="1" applyProtection="1">
      <protection locked="0"/>
    </xf>
    <xf numFmtId="4" fontId="17" fillId="14" borderId="291" xfId="19" applyNumberFormat="1" applyFont="1" applyFill="1" applyBorder="1" applyAlignment="1" applyProtection="1">
      <protection locked="0"/>
    </xf>
    <xf numFmtId="4" fontId="17" fillId="14" borderId="351" xfId="19" applyNumberFormat="1" applyFont="1" applyFill="1" applyBorder="1" applyAlignment="1" applyProtection="1">
      <protection locked="0"/>
    </xf>
    <xf numFmtId="4" fontId="17" fillId="14" borderId="352" xfId="19" applyNumberFormat="1" applyFont="1" applyFill="1" applyBorder="1" applyAlignment="1" applyProtection="1">
      <protection locked="0"/>
    </xf>
    <xf numFmtId="38" fontId="17" fillId="10" borderId="4" xfId="10" applyFont="1" applyFill="1" applyBorder="1" applyAlignment="1" applyProtection="1">
      <protection locked="0"/>
    </xf>
    <xf numFmtId="4" fontId="17" fillId="10" borderId="353" xfId="19" applyNumberFormat="1" applyFont="1" applyFill="1" applyBorder="1" applyAlignment="1" applyProtection="1">
      <protection locked="0"/>
    </xf>
    <xf numFmtId="4" fontId="17" fillId="10" borderId="354" xfId="19" applyNumberFormat="1" applyFont="1" applyFill="1" applyBorder="1" applyAlignment="1" applyProtection="1">
      <protection locked="0"/>
    </xf>
    <xf numFmtId="4" fontId="17" fillId="10" borderId="6" xfId="19" applyNumberFormat="1" applyFont="1" applyFill="1" applyBorder="1" applyAlignment="1" applyProtection="1">
      <protection locked="0"/>
    </xf>
    <xf numFmtId="0" fontId="79" fillId="10" borderId="156" xfId="19" applyFont="1" applyFill="1" applyBorder="1" applyAlignment="1" applyProtection="1">
      <protection locked="0"/>
    </xf>
    <xf numFmtId="0" fontId="79" fillId="10" borderId="171" xfId="19" applyNumberFormat="1" applyFont="1" applyFill="1" applyBorder="1" applyAlignment="1" applyProtection="1">
      <alignment vertical="center" wrapText="1"/>
      <protection locked="0"/>
    </xf>
    <xf numFmtId="0" fontId="79" fillId="10" borderId="54" xfId="19" applyNumberFormat="1" applyFont="1" applyFill="1" applyBorder="1" applyAlignment="1" applyProtection="1">
      <alignment vertical="center" wrapText="1"/>
      <protection locked="0"/>
    </xf>
    <xf numFmtId="4" fontId="15" fillId="10" borderId="355" xfId="19" applyNumberFormat="1" applyFont="1" applyFill="1" applyBorder="1" applyAlignment="1" applyProtection="1">
      <protection locked="0"/>
    </xf>
    <xf numFmtId="4" fontId="15" fillId="10" borderId="54" xfId="19" applyNumberFormat="1" applyFont="1" applyFill="1" applyBorder="1" applyAlignment="1" applyProtection="1">
      <protection locked="0"/>
    </xf>
    <xf numFmtId="4" fontId="15" fillId="10" borderId="3" xfId="19" applyNumberFormat="1" applyFont="1" applyFill="1" applyBorder="1" applyAlignment="1" applyProtection="1">
      <protection locked="0"/>
    </xf>
    <xf numFmtId="189" fontId="12" fillId="10" borderId="5" xfId="10" applyNumberFormat="1" applyFont="1" applyFill="1" applyBorder="1" applyAlignment="1" applyProtection="1">
      <alignment shrinkToFit="1"/>
      <protection locked="0"/>
    </xf>
    <xf numFmtId="38" fontId="12" fillId="10" borderId="4" xfId="10" applyNumberFormat="1" applyFont="1" applyFill="1" applyBorder="1" applyAlignment="1" applyProtection="1">
      <alignment shrinkToFit="1"/>
      <protection locked="0"/>
    </xf>
    <xf numFmtId="38" fontId="12" fillId="10" borderId="3" xfId="10" applyNumberFormat="1" applyFont="1" applyFill="1" applyBorder="1" applyAlignment="1" applyProtection="1">
      <alignment shrinkToFit="1"/>
      <protection locked="0"/>
    </xf>
    <xf numFmtId="189" fontId="11" fillId="10" borderId="7" xfId="10" applyNumberFormat="1" applyFont="1" applyFill="1" applyBorder="1" applyAlignment="1" applyProtection="1">
      <alignment shrinkToFit="1"/>
      <protection locked="0"/>
    </xf>
    <xf numFmtId="0" fontId="7" fillId="10" borderId="356" xfId="0" applyNumberFormat="1" applyFont="1" applyFill="1" applyBorder="1" applyAlignment="1" applyProtection="1">
      <protection locked="0"/>
    </xf>
    <xf numFmtId="0" fontId="4" fillId="12" borderId="315" xfId="0" applyNumberFormat="1" applyFont="1" applyFill="1" applyBorder="1" applyAlignment="1" applyProtection="1">
      <protection locked="0"/>
    </xf>
    <xf numFmtId="3" fontId="8" fillId="0" borderId="245" xfId="17" applyNumberFormat="1" applyFont="1" applyFill="1" applyBorder="1" applyAlignment="1" applyProtection="1"/>
    <xf numFmtId="3" fontId="8" fillId="0" borderId="0" xfId="17" applyNumberFormat="1" applyFont="1" applyAlignment="1" applyProtection="1">
      <protection locked="0"/>
    </xf>
    <xf numFmtId="0" fontId="82" fillId="0" borderId="327" xfId="0" applyNumberFormat="1" applyFont="1" applyFill="1" applyBorder="1" applyAlignment="1" applyProtection="1"/>
    <xf numFmtId="0" fontId="82" fillId="0" borderId="0" xfId="0" applyNumberFormat="1" applyFont="1" applyFill="1" applyBorder="1" applyAlignment="1" applyProtection="1"/>
    <xf numFmtId="0" fontId="82" fillId="0" borderId="5" xfId="0" applyNumberFormat="1" applyFont="1" applyBorder="1" applyAlignment="1" applyProtection="1"/>
    <xf numFmtId="0" fontId="82" fillId="0" borderId="0" xfId="0" applyNumberFormat="1" applyFont="1" applyAlignment="1" applyProtection="1"/>
    <xf numFmtId="0" fontId="83" fillId="0" borderId="0" xfId="19" applyFont="1" applyFill="1" applyAlignment="1" applyProtection="1"/>
    <xf numFmtId="0" fontId="83" fillId="0" borderId="0" xfId="20" applyFont="1" applyAlignment="1" applyProtection="1"/>
    <xf numFmtId="0" fontId="82" fillId="0" borderId="0" xfId="20" applyNumberFormat="1" applyFont="1" applyAlignment="1" applyProtection="1">
      <alignment horizontal="left"/>
    </xf>
    <xf numFmtId="225" fontId="82" fillId="0" borderId="0" xfId="20" applyNumberFormat="1" applyFont="1" applyBorder="1" applyAlignment="1" applyProtection="1"/>
    <xf numFmtId="38" fontId="32" fillId="0" borderId="0" xfId="10" applyFont="1" applyAlignment="1" applyProtection="1">
      <protection locked="0"/>
    </xf>
    <xf numFmtId="0" fontId="82" fillId="0" borderId="0" xfId="0" applyNumberFormat="1" applyFont="1" applyAlignment="1" applyProtection="1">
      <alignment horizontal="left"/>
    </xf>
    <xf numFmtId="9" fontId="7" fillId="14" borderId="357" xfId="0" applyNumberFormat="1" applyFont="1" applyFill="1" applyBorder="1" applyAlignment="1" applyProtection="1">
      <protection locked="0"/>
    </xf>
    <xf numFmtId="9" fontId="7" fillId="14" borderId="358" xfId="0" applyNumberFormat="1" applyFont="1" applyFill="1" applyBorder="1" applyAlignment="1" applyProtection="1">
      <protection locked="0"/>
    </xf>
    <xf numFmtId="0" fontId="7" fillId="16" borderId="359" xfId="0" applyNumberFormat="1" applyFont="1" applyFill="1" applyBorder="1" applyAlignment="1" applyProtection="1">
      <protection locked="0"/>
    </xf>
    <xf numFmtId="0" fontId="0" fillId="0" borderId="0" xfId="0" applyNumberFormat="1" applyFont="1" applyAlignment="1" applyProtection="1">
      <alignment horizontal="center"/>
      <protection locked="0"/>
    </xf>
    <xf numFmtId="0" fontId="0" fillId="0" borderId="142" xfId="0" applyNumberFormat="1" applyFont="1" applyBorder="1" applyAlignment="1" applyProtection="1">
      <alignment horizontal="center" vertical="center"/>
      <protection locked="0"/>
    </xf>
    <xf numFmtId="0" fontId="0" fillId="0" borderId="143" xfId="0" applyNumberFormat="1" applyBorder="1" applyAlignment="1" applyProtection="1">
      <alignment horizontal="center" vertical="center"/>
      <protection locked="0"/>
    </xf>
    <xf numFmtId="0" fontId="0" fillId="0" borderId="144" xfId="0" applyNumberFormat="1" applyBorder="1" applyAlignment="1" applyProtection="1">
      <alignment horizontal="center" vertical="center"/>
      <protection locked="0"/>
    </xf>
    <xf numFmtId="226" fontId="0" fillId="10" borderId="167" xfId="0" applyNumberFormat="1" applyFill="1" applyBorder="1" applyAlignment="1" applyProtection="1">
      <alignment horizontal="center" vertical="center"/>
      <protection locked="0"/>
    </xf>
    <xf numFmtId="227" fontId="0" fillId="10" borderId="3" xfId="0" applyNumberFormat="1" applyFont="1" applyFill="1" applyBorder="1" applyAlignment="1" applyProtection="1">
      <alignment horizontal="right"/>
      <protection locked="0"/>
    </xf>
    <xf numFmtId="228" fontId="0" fillId="10" borderId="3" xfId="0" applyNumberFormat="1" applyFill="1" applyBorder="1" applyAlignment="1" applyProtection="1">
      <alignment horizontal="right"/>
      <protection locked="0"/>
    </xf>
    <xf numFmtId="227" fontId="0" fillId="0" borderId="206" xfId="0" applyNumberFormat="1" applyBorder="1" applyAlignment="1" applyProtection="1">
      <protection locked="0"/>
    </xf>
    <xf numFmtId="226" fontId="0" fillId="0" borderId="167" xfId="0" applyNumberFormat="1" applyBorder="1" applyAlignment="1" applyProtection="1">
      <alignment horizontal="center" vertical="center"/>
      <protection locked="0"/>
    </xf>
    <xf numFmtId="228" fontId="0" fillId="10" borderId="3" xfId="0" applyNumberFormat="1" applyFont="1" applyFill="1" applyBorder="1" applyAlignment="1" applyProtection="1">
      <alignment horizontal="right"/>
      <protection locked="0"/>
    </xf>
    <xf numFmtId="227" fontId="0" fillId="10" borderId="3" xfId="0" applyNumberFormat="1" applyFill="1" applyBorder="1" applyAlignment="1" applyProtection="1">
      <alignment horizontal="right"/>
      <protection locked="0"/>
    </xf>
    <xf numFmtId="226" fontId="0" fillId="0" borderId="168" xfId="0" applyNumberFormat="1" applyBorder="1" applyAlignment="1" applyProtection="1">
      <alignment horizontal="center" vertical="center"/>
      <protection locked="0"/>
    </xf>
    <xf numFmtId="227" fontId="0" fillId="10" borderId="246" xfId="0" applyNumberFormat="1" applyFill="1" applyBorder="1" applyAlignment="1" applyProtection="1">
      <alignment horizontal="right"/>
      <protection locked="0"/>
    </xf>
    <xf numFmtId="228" fontId="0" fillId="10" borderId="246" xfId="0" applyNumberFormat="1" applyFill="1" applyBorder="1" applyAlignment="1" applyProtection="1">
      <alignment horizontal="right"/>
      <protection locked="0"/>
    </xf>
    <xf numFmtId="227" fontId="0" fillId="0" borderId="208" xfId="0" applyNumberFormat="1" applyBorder="1" applyAlignment="1" applyProtection="1">
      <protection locked="0"/>
    </xf>
    <xf numFmtId="0" fontId="0" fillId="0" borderId="118" xfId="0" applyNumberFormat="1" applyBorder="1" applyAlignment="1" applyProtection="1">
      <alignment horizontal="center" vertical="center"/>
      <protection locked="0"/>
    </xf>
    <xf numFmtId="227" fontId="0" fillId="0" borderId="209" xfId="0" applyNumberFormat="1" applyFont="1" applyBorder="1" applyAlignment="1" applyProtection="1">
      <protection locked="0"/>
    </xf>
    <xf numFmtId="228" fontId="0" fillId="0" borderId="209" xfId="0" applyNumberFormat="1" applyFont="1" applyBorder="1" applyAlignment="1" applyProtection="1">
      <protection locked="0"/>
    </xf>
    <xf numFmtId="227" fontId="0" fillId="0" borderId="245" xfId="0" applyNumberFormat="1" applyBorder="1" applyAlignment="1" applyProtection="1">
      <protection locked="0"/>
    </xf>
    <xf numFmtId="0" fontId="82" fillId="0" borderId="0" xfId="0" applyNumberFormat="1" applyFont="1" applyBorder="1" applyAlignment="1" applyProtection="1"/>
    <xf numFmtId="190" fontId="30" fillId="12" borderId="4" xfId="18" applyNumberFormat="1" applyFont="1" applyFill="1" applyBorder="1" applyAlignment="1"/>
    <xf numFmtId="0" fontId="1" fillId="10" borderId="3" xfId="20" applyNumberFormat="1" applyFont="1" applyFill="1" applyBorder="1" applyAlignment="1" applyProtection="1">
      <alignment shrinkToFit="1"/>
      <protection locked="0"/>
    </xf>
    <xf numFmtId="0" fontId="1" fillId="10" borderId="4" xfId="20" applyNumberFormat="1" applyFont="1" applyFill="1" applyBorder="1" applyAlignment="1" applyProtection="1">
      <alignment horizontal="center" shrinkToFit="1"/>
      <protection locked="0"/>
    </xf>
    <xf numFmtId="0" fontId="11" fillId="10" borderId="3" xfId="20" applyFont="1" applyFill="1" applyBorder="1" applyAlignment="1" applyProtection="1">
      <alignment horizontal="center"/>
      <protection locked="0"/>
    </xf>
    <xf numFmtId="0" fontId="11" fillId="10" borderId="6" xfId="20" applyNumberFormat="1" applyFont="1" applyFill="1" applyBorder="1" applyAlignment="1" applyProtection="1">
      <protection locked="0"/>
    </xf>
    <xf numFmtId="0" fontId="30" fillId="0" borderId="363" xfId="14" applyFont="1" applyFill="1" applyBorder="1" applyAlignment="1">
      <alignment horizontal="center"/>
    </xf>
    <xf numFmtId="0" fontId="30" fillId="0" borderId="73" xfId="18" applyFont="1" applyFill="1" applyBorder="1" applyAlignment="1">
      <alignment vertical="center"/>
    </xf>
    <xf numFmtId="0" fontId="30" fillId="0" borderId="74" xfId="18" applyFont="1" applyFill="1" applyBorder="1" applyAlignment="1">
      <alignment vertical="center"/>
    </xf>
    <xf numFmtId="0" fontId="30" fillId="0" borderId="75" xfId="18" applyFont="1" applyFill="1" applyBorder="1" applyAlignment="1">
      <alignment horizontal="distributed" vertical="center"/>
    </xf>
    <xf numFmtId="0" fontId="30" fillId="0" borderId="0" xfId="18" applyFont="1" applyFill="1" applyBorder="1" applyAlignment="1">
      <alignment vertical="center"/>
    </xf>
    <xf numFmtId="0" fontId="32" fillId="0" borderId="0" xfId="18" applyFont="1" applyFill="1" applyAlignment="1">
      <alignment horizontal="center"/>
    </xf>
    <xf numFmtId="38" fontId="30" fillId="0" borderId="4" xfId="10" applyFont="1" applyFill="1" applyBorder="1" applyAlignment="1"/>
    <xf numFmtId="3" fontId="30" fillId="0" borderId="4" xfId="18" applyNumberFormat="1" applyFont="1" applyFill="1" applyBorder="1" applyAlignment="1"/>
    <xf numFmtId="3" fontId="30" fillId="0" borderId="77" xfId="18" applyNumberFormat="1" applyFont="1" applyFill="1" applyBorder="1" applyAlignment="1">
      <alignment horizontal="center"/>
    </xf>
    <xf numFmtId="3" fontId="32" fillId="0" borderId="4" xfId="18" applyNumberFormat="1" applyFont="1" applyFill="1" applyBorder="1" applyAlignment="1">
      <alignment horizontal="right"/>
    </xf>
    <xf numFmtId="3" fontId="30" fillId="0" borderId="77" xfId="18" applyNumberFormat="1" applyFont="1" applyFill="1" applyBorder="1" applyAlignment="1">
      <alignment horizontal="right"/>
    </xf>
    <xf numFmtId="3" fontId="30" fillId="0" borderId="4" xfId="18" applyNumberFormat="1" applyFont="1" applyFill="1" applyBorder="1" applyAlignment="1">
      <alignment horizontal="right"/>
    </xf>
    <xf numFmtId="3" fontId="32" fillId="0" borderId="0" xfId="18" applyNumberFormat="1" applyFont="1" applyFill="1" applyBorder="1" applyAlignment="1"/>
    <xf numFmtId="0" fontId="32" fillId="0" borderId="3" xfId="0" applyNumberFormat="1" applyFont="1" applyFill="1" applyBorder="1" applyAlignment="1" applyProtection="1">
      <alignment vertical="center"/>
      <protection locked="0"/>
    </xf>
    <xf numFmtId="38" fontId="8" fillId="0" borderId="4" xfId="10" applyFont="1" applyFill="1" applyBorder="1" applyAlignment="1"/>
    <xf numFmtId="3" fontId="30" fillId="0" borderId="7" xfId="18" applyNumberFormat="1" applyFont="1" applyFill="1" applyBorder="1" applyAlignment="1">
      <alignment horizontal="right"/>
    </xf>
    <xf numFmtId="3" fontId="30" fillId="0" borderId="364" xfId="18" applyNumberFormat="1" applyFont="1" applyFill="1" applyBorder="1" applyAlignment="1">
      <alignment horizontal="right"/>
    </xf>
    <xf numFmtId="0" fontId="32" fillId="0" borderId="365" xfId="18" applyNumberFormat="1" applyFont="1" applyFill="1" applyBorder="1" applyAlignment="1" applyProtection="1">
      <alignment horizontal="center"/>
      <protection locked="0"/>
    </xf>
    <xf numFmtId="0" fontId="30" fillId="0" borderId="0" xfId="18" applyFont="1" applyFill="1" applyAlignment="1"/>
    <xf numFmtId="38" fontId="32" fillId="0" borderId="0" xfId="18" applyNumberFormat="1" applyFont="1" applyFill="1" applyAlignment="1" applyProtection="1">
      <protection locked="0"/>
    </xf>
    <xf numFmtId="3" fontId="28" fillId="0" borderId="0" xfId="18" applyNumberFormat="1" applyFont="1" applyFill="1" applyAlignment="1" applyProtection="1">
      <protection locked="0"/>
    </xf>
    <xf numFmtId="3" fontId="8" fillId="0" borderId="0" xfId="18" applyNumberFormat="1" applyFont="1" applyFill="1" applyAlignment="1" applyProtection="1">
      <protection locked="0"/>
    </xf>
    <xf numFmtId="0" fontId="8" fillId="0" borderId="0" xfId="14" applyNumberFormat="1" applyFont="1" applyFill="1" applyAlignment="1" applyProtection="1">
      <protection locked="0"/>
    </xf>
    <xf numFmtId="0" fontId="25" fillId="0" borderId="0" xfId="14" applyFont="1" applyFill="1" applyAlignment="1"/>
    <xf numFmtId="0" fontId="32" fillId="0" borderId="0" xfId="14" applyFont="1" applyFill="1" applyAlignment="1"/>
    <xf numFmtId="0" fontId="30" fillId="0" borderId="0" xfId="14" applyNumberFormat="1" applyFont="1" applyFill="1" applyAlignment="1"/>
    <xf numFmtId="9" fontId="30" fillId="0" borderId="0" xfId="14" applyNumberFormat="1" applyFont="1" applyFill="1" applyAlignment="1">
      <alignment horizontal="right"/>
    </xf>
    <xf numFmtId="0" fontId="32" fillId="0" borderId="0" xfId="14" applyFont="1" applyFill="1" applyAlignment="1">
      <alignment horizontal="right"/>
    </xf>
    <xf numFmtId="3" fontId="32" fillId="0" borderId="0" xfId="14" applyNumberFormat="1" applyFont="1" applyFill="1" applyAlignment="1"/>
    <xf numFmtId="3" fontId="32" fillId="0" borderId="0" xfId="14" applyNumberFormat="1" applyFont="1" applyFill="1" applyAlignment="1">
      <alignment horizontal="right"/>
    </xf>
    <xf numFmtId="179" fontId="30" fillId="0" borderId="82" xfId="14" applyNumberFormat="1" applyFont="1" applyFill="1" applyBorder="1" applyAlignment="1"/>
    <xf numFmtId="4" fontId="30" fillId="0" borderId="83" xfId="14" applyNumberFormat="1" applyFont="1" applyFill="1" applyBorder="1" applyAlignment="1"/>
    <xf numFmtId="0" fontId="30" fillId="0" borderId="81" xfId="14" applyFont="1" applyFill="1" applyBorder="1" applyAlignment="1">
      <alignment horizontal="center"/>
    </xf>
    <xf numFmtId="179" fontId="30" fillId="0" borderId="0" xfId="14" applyNumberFormat="1" applyFont="1" applyFill="1" applyBorder="1" applyAlignment="1"/>
    <xf numFmtId="0" fontId="43" fillId="0" borderId="0" xfId="14" applyNumberFormat="1" applyFont="1" applyFill="1" applyBorder="1" applyAlignment="1" applyProtection="1">
      <protection locked="0"/>
    </xf>
    <xf numFmtId="4" fontId="30" fillId="0" borderId="0" xfId="14" applyNumberFormat="1" applyFont="1" applyFill="1" applyBorder="1" applyAlignment="1"/>
    <xf numFmtId="0" fontId="8" fillId="0" borderId="0" xfId="14" applyFont="1" applyFill="1" applyBorder="1" applyAlignment="1"/>
    <xf numFmtId="3" fontId="30" fillId="0" borderId="82" xfId="14" applyNumberFormat="1" applyFont="1" applyFill="1" applyBorder="1" applyAlignment="1"/>
    <xf numFmtId="3" fontId="30" fillId="0" borderId="0" xfId="14" applyNumberFormat="1" applyFont="1" applyFill="1" applyBorder="1" applyAlignment="1">
      <alignment horizontal="right"/>
    </xf>
    <xf numFmtId="0" fontId="30" fillId="0" borderId="0" xfId="14" applyNumberFormat="1" applyFont="1" applyFill="1" applyBorder="1" applyAlignment="1"/>
    <xf numFmtId="3" fontId="30" fillId="0" borderId="140" xfId="14" applyNumberFormat="1" applyFont="1" applyFill="1" applyBorder="1" applyAlignment="1"/>
    <xf numFmtId="0" fontId="30" fillId="0" borderId="116" xfId="14" applyFont="1" applyFill="1" applyBorder="1" applyAlignment="1">
      <alignment horizontal="center"/>
    </xf>
    <xf numFmtId="0" fontId="30" fillId="0" borderId="240" xfId="14" applyFont="1" applyFill="1" applyBorder="1" applyAlignment="1">
      <alignment vertical="center"/>
    </xf>
    <xf numFmtId="0" fontId="30" fillId="0" borderId="250" xfId="14" applyFont="1" applyFill="1" applyBorder="1" applyAlignment="1">
      <alignment vertical="center"/>
    </xf>
    <xf numFmtId="3" fontId="30" fillId="0" borderId="366" xfId="14" applyNumberFormat="1" applyFont="1" applyFill="1" applyBorder="1" applyAlignment="1">
      <alignment horizontal="center" vertical="center" wrapText="1"/>
    </xf>
    <xf numFmtId="0" fontId="32" fillId="0" borderId="240" xfId="0" applyNumberFormat="1" applyFont="1" applyFill="1" applyBorder="1" applyAlignment="1" applyProtection="1">
      <alignment horizontal="center" vertical="center"/>
      <protection locked="0"/>
    </xf>
    <xf numFmtId="0" fontId="32" fillId="0" borderId="240" xfId="0" applyNumberFormat="1" applyFont="1" applyFill="1" applyBorder="1" applyAlignment="1" applyProtection="1">
      <alignment vertical="center"/>
      <protection locked="0"/>
    </xf>
    <xf numFmtId="0" fontId="32" fillId="0" borderId="240" xfId="0" applyNumberFormat="1" applyFont="1" applyFill="1" applyBorder="1" applyAlignment="1" applyProtection="1">
      <alignment vertical="center" wrapText="1"/>
      <protection locked="0"/>
    </xf>
    <xf numFmtId="0" fontId="32" fillId="0" borderId="250" xfId="0" applyNumberFormat="1" applyFont="1" applyFill="1" applyBorder="1" applyAlignment="1" applyProtection="1">
      <alignment vertical="center"/>
      <protection locked="0"/>
    </xf>
    <xf numFmtId="3" fontId="30" fillId="0" borderId="82" xfId="14" applyNumberFormat="1" applyFont="1" applyFill="1" applyBorder="1" applyAlignment="1">
      <alignment horizontal="right"/>
    </xf>
    <xf numFmtId="3" fontId="30" fillId="0" borderId="83" xfId="14" applyNumberFormat="1" applyFont="1" applyFill="1" applyBorder="1" applyAlignment="1">
      <alignment horizontal="right"/>
    </xf>
    <xf numFmtId="194" fontId="30" fillId="0" borderId="79" xfId="14" applyNumberFormat="1" applyFont="1" applyFill="1" applyBorder="1" applyAlignment="1">
      <alignment horizontal="right"/>
    </xf>
    <xf numFmtId="3" fontId="30" fillId="0" borderId="366" xfId="14" applyNumberFormat="1" applyFont="1" applyFill="1" applyBorder="1" applyAlignment="1">
      <alignment vertical="center" wrapText="1"/>
    </xf>
    <xf numFmtId="3" fontId="30" fillId="0" borderId="240" xfId="14" applyNumberFormat="1" applyFont="1" applyFill="1" applyBorder="1" applyAlignment="1">
      <alignment vertical="center"/>
    </xf>
    <xf numFmtId="3" fontId="30" fillId="0" borderId="240" xfId="14" applyNumberFormat="1" applyFont="1" applyFill="1" applyBorder="1" applyAlignment="1">
      <alignment vertical="center" wrapText="1"/>
    </xf>
    <xf numFmtId="3" fontId="30" fillId="0" borderId="250" xfId="14" applyNumberFormat="1" applyFont="1" applyFill="1" applyBorder="1" applyAlignment="1">
      <alignment vertical="center"/>
    </xf>
    <xf numFmtId="0" fontId="32" fillId="0" borderId="0" xfId="14" applyNumberFormat="1" applyFont="1" applyFill="1" applyAlignment="1" applyProtection="1">
      <alignment horizontal="right"/>
      <protection locked="0"/>
    </xf>
    <xf numFmtId="3" fontId="30" fillId="0" borderId="0" xfId="14" applyNumberFormat="1" applyFont="1" applyFill="1" applyAlignment="1"/>
    <xf numFmtId="186" fontId="32" fillId="0" borderId="0" xfId="14" applyNumberFormat="1" applyFont="1" applyFill="1" applyAlignment="1" applyProtection="1">
      <protection locked="0"/>
    </xf>
    <xf numFmtId="0" fontId="30" fillId="0" borderId="79" xfId="14" applyFont="1" applyFill="1" applyBorder="1" applyAlignment="1">
      <alignment horizontal="left"/>
    </xf>
    <xf numFmtId="0" fontId="30" fillId="0" borderId="0" xfId="14" applyFont="1" applyFill="1" applyBorder="1" applyAlignment="1">
      <alignment horizontal="center"/>
    </xf>
    <xf numFmtId="0" fontId="32" fillId="0" borderId="0" xfId="0" applyNumberFormat="1" applyFont="1" applyFill="1" applyBorder="1" applyAlignment="1" applyProtection="1">
      <alignment horizontal="center"/>
      <protection locked="0"/>
    </xf>
    <xf numFmtId="196" fontId="30" fillId="0" borderId="220" xfId="14" applyNumberFormat="1" applyFont="1" applyFill="1" applyBorder="1" applyAlignment="1">
      <alignment horizontal="right"/>
    </xf>
    <xf numFmtId="196" fontId="8" fillId="0" borderId="0" xfId="14" applyNumberFormat="1" applyFont="1" applyFill="1" applyAlignment="1"/>
    <xf numFmtId="3" fontId="8" fillId="0" borderId="244" xfId="17" applyNumberFormat="1" applyFont="1" applyFill="1" applyBorder="1" applyAlignment="1" applyProtection="1"/>
    <xf numFmtId="3" fontId="8" fillId="0" borderId="3" xfId="17" applyNumberFormat="1" applyFont="1" applyFill="1" applyBorder="1" applyAlignment="1" applyProtection="1"/>
    <xf numFmtId="3" fontId="8" fillId="0" borderId="246" xfId="17" applyNumberFormat="1" applyFont="1" applyFill="1" applyBorder="1" applyAlignment="1" applyProtection="1"/>
    <xf numFmtId="40" fontId="1" fillId="0" borderId="0" xfId="10" applyNumberFormat="1" applyFont="1" applyFill="1" applyAlignment="1"/>
    <xf numFmtId="38" fontId="32" fillId="0" borderId="0" xfId="10" applyFont="1" applyAlignment="1"/>
    <xf numFmtId="189" fontId="14" fillId="10" borderId="368" xfId="10" applyNumberFormat="1" applyFont="1" applyFill="1" applyBorder="1" applyAlignment="1" applyProtection="1">
      <protection locked="0"/>
    </xf>
    <xf numFmtId="189" fontId="46" fillId="0" borderId="185" xfId="10" applyNumberFormat="1" applyFont="1" applyBorder="1" applyAlignment="1" applyProtection="1">
      <protection locked="0"/>
    </xf>
    <xf numFmtId="0" fontId="1" fillId="0" borderId="270" xfId="13" applyFont="1" applyFill="1" applyBorder="1" applyAlignment="1"/>
    <xf numFmtId="196" fontId="1" fillId="0" borderId="370" xfId="13" applyNumberFormat="1" applyFont="1" applyFill="1" applyBorder="1" applyAlignment="1"/>
    <xf numFmtId="196" fontId="1" fillId="0" borderId="271" xfId="13" applyNumberFormat="1" applyFont="1" applyFill="1" applyBorder="1" applyAlignment="1"/>
    <xf numFmtId="0" fontId="1" fillId="0" borderId="68" xfId="13" applyFont="1" applyFill="1" applyBorder="1" applyAlignment="1"/>
    <xf numFmtId="196" fontId="1" fillId="0" borderId="372" xfId="13" applyNumberFormat="1" applyFont="1" applyFill="1" applyBorder="1" applyAlignment="1"/>
    <xf numFmtId="196" fontId="1" fillId="0" borderId="69" xfId="13" applyNumberFormat="1" applyFont="1" applyFill="1" applyBorder="1" applyAlignment="1"/>
    <xf numFmtId="0" fontId="1" fillId="0" borderId="67" xfId="13" applyFont="1" applyFill="1" applyBorder="1" applyAlignment="1"/>
    <xf numFmtId="196" fontId="1" fillId="0" borderId="374" xfId="13" applyNumberFormat="1" applyFont="1" applyFill="1" applyBorder="1" applyAlignment="1"/>
    <xf numFmtId="196" fontId="1" fillId="0" borderId="70" xfId="13" applyNumberFormat="1" applyFont="1" applyFill="1" applyBorder="1" applyAlignment="1"/>
    <xf numFmtId="194" fontId="1" fillId="12" borderId="89" xfId="13" applyNumberFormat="1" applyFont="1" applyFill="1" applyBorder="1" applyAlignment="1"/>
    <xf numFmtId="0" fontId="1" fillId="12" borderId="361" xfId="13" applyNumberFormat="1" applyFont="1" applyFill="1" applyBorder="1" applyAlignment="1" applyProtection="1">
      <protection locked="0"/>
    </xf>
    <xf numFmtId="0" fontId="1" fillId="12" borderId="370" xfId="13" applyFont="1" applyFill="1" applyBorder="1" applyAlignment="1">
      <alignment horizontal="center"/>
    </xf>
    <xf numFmtId="0" fontId="1" fillId="12" borderId="372" xfId="13" applyFont="1" applyFill="1" applyBorder="1" applyAlignment="1">
      <alignment horizontal="center"/>
    </xf>
    <xf numFmtId="0" fontId="1" fillId="12" borderId="377" xfId="13" applyFont="1" applyFill="1" applyBorder="1" applyAlignment="1">
      <alignment horizontal="center"/>
    </xf>
    <xf numFmtId="0" fontId="1" fillId="12" borderId="378" xfId="13" applyFont="1" applyFill="1" applyBorder="1" applyAlignment="1">
      <alignment horizontal="center"/>
    </xf>
    <xf numFmtId="0" fontId="1" fillId="12" borderId="379" xfId="13" applyFont="1" applyFill="1" applyBorder="1" applyAlignment="1">
      <alignment horizontal="center"/>
    </xf>
    <xf numFmtId="0" fontId="1" fillId="12" borderId="380" xfId="13" applyFont="1" applyFill="1" applyBorder="1" applyAlignment="1">
      <alignment horizontal="center"/>
    </xf>
    <xf numFmtId="0" fontId="1" fillId="12" borderId="271" xfId="13" applyFont="1" applyFill="1" applyBorder="1" applyAlignment="1">
      <alignment horizontal="center"/>
    </xf>
    <xf numFmtId="0" fontId="1" fillId="12" borderId="69" xfId="13" applyFont="1" applyFill="1" applyBorder="1" applyAlignment="1">
      <alignment horizontal="center"/>
    </xf>
    <xf numFmtId="0" fontId="1" fillId="12" borderId="381" xfId="13" applyFont="1" applyFill="1" applyBorder="1" applyAlignment="1">
      <alignment horizontal="center"/>
    </xf>
    <xf numFmtId="0" fontId="1" fillId="12" borderId="382" xfId="13" applyFont="1" applyFill="1" applyBorder="1" applyAlignment="1">
      <alignment horizontal="center"/>
    </xf>
    <xf numFmtId="0" fontId="1" fillId="12" borderId="383" xfId="13" applyFont="1" applyFill="1" applyBorder="1" applyAlignment="1">
      <alignment horizontal="center"/>
    </xf>
    <xf numFmtId="0" fontId="1" fillId="12" borderId="371" xfId="13" applyFont="1" applyFill="1" applyBorder="1" applyAlignment="1">
      <alignment horizontal="center"/>
    </xf>
    <xf numFmtId="0" fontId="1" fillId="12" borderId="373" xfId="13" applyFont="1" applyFill="1" applyBorder="1" applyAlignment="1">
      <alignment horizontal="center"/>
    </xf>
    <xf numFmtId="0" fontId="1" fillId="12" borderId="272" xfId="13" applyFont="1" applyFill="1" applyBorder="1" applyAlignment="1">
      <alignment horizontal="center"/>
    </xf>
    <xf numFmtId="0" fontId="1" fillId="12" borderId="384" xfId="13" applyFont="1" applyFill="1" applyBorder="1" applyAlignment="1">
      <alignment horizontal="center"/>
    </xf>
    <xf numFmtId="0" fontId="1" fillId="12" borderId="385" xfId="13" applyFont="1" applyFill="1" applyBorder="1" applyAlignment="1">
      <alignment horizontal="center"/>
    </xf>
    <xf numFmtId="0" fontId="1" fillId="12" borderId="386" xfId="13" applyFont="1" applyFill="1" applyBorder="1" applyAlignment="1">
      <alignment horizontal="center"/>
    </xf>
    <xf numFmtId="0" fontId="1" fillId="12" borderId="387" xfId="13" applyFont="1" applyFill="1" applyBorder="1" applyAlignment="1">
      <alignment horizontal="center"/>
    </xf>
    <xf numFmtId="0" fontId="1" fillId="12" borderId="388" xfId="13" applyFont="1" applyFill="1" applyBorder="1" applyAlignment="1">
      <alignment horizontal="center"/>
    </xf>
    <xf numFmtId="0" fontId="1" fillId="12" borderId="389" xfId="13" applyFont="1" applyFill="1" applyBorder="1" applyAlignment="1">
      <alignment horizontal="center"/>
    </xf>
    <xf numFmtId="0" fontId="1" fillId="12" borderId="390" xfId="13" applyFont="1" applyFill="1" applyBorder="1" applyAlignment="1">
      <alignment horizontal="center"/>
    </xf>
    <xf numFmtId="0" fontId="1" fillId="12" borderId="391" xfId="13" applyFont="1" applyFill="1" applyBorder="1" applyAlignment="1">
      <alignment horizontal="center"/>
    </xf>
    <xf numFmtId="0" fontId="1" fillId="12" borderId="392" xfId="13" applyFont="1" applyFill="1" applyBorder="1" applyAlignment="1">
      <alignment horizontal="center"/>
    </xf>
    <xf numFmtId="0" fontId="1" fillId="12" borderId="393" xfId="13" applyFont="1" applyFill="1" applyBorder="1" applyAlignment="1">
      <alignment horizontal="center"/>
    </xf>
    <xf numFmtId="0" fontId="1" fillId="12" borderId="394" xfId="13" applyFont="1" applyFill="1" applyBorder="1" applyAlignment="1">
      <alignment horizontal="center"/>
    </xf>
    <xf numFmtId="0" fontId="0" fillId="0" borderId="0" xfId="14" applyFont="1" applyFill="1" applyAlignment="1"/>
    <xf numFmtId="0" fontId="0" fillId="0" borderId="0" xfId="14" applyFont="1" applyAlignment="1"/>
    <xf numFmtId="0" fontId="0" fillId="0" borderId="167" xfId="17" applyNumberFormat="1" applyFont="1" applyFill="1" applyBorder="1" applyAlignment="1" applyProtection="1">
      <alignment horizontal="distributed" vertical="center"/>
      <protection locked="0"/>
    </xf>
    <xf numFmtId="0" fontId="7" fillId="0" borderId="5" xfId="0" applyNumberFormat="1" applyFont="1" applyFill="1" applyBorder="1" applyAlignment="1" applyProtection="1"/>
    <xf numFmtId="0" fontId="7" fillId="0" borderId="395" xfId="0" applyNumberFormat="1" applyFont="1" applyFill="1" applyBorder="1" applyAlignment="1" applyProtection="1"/>
    <xf numFmtId="0" fontId="30" fillId="0" borderId="0" xfId="14" applyNumberFormat="1" applyFont="1" applyFill="1" applyAlignment="1">
      <alignment horizontal="right"/>
    </xf>
    <xf numFmtId="0" fontId="1" fillId="0" borderId="16" xfId="13" applyFont="1" applyFill="1" applyBorder="1" applyAlignment="1">
      <alignment horizontal="distributed"/>
    </xf>
    <xf numFmtId="0" fontId="1" fillId="0" borderId="16" xfId="13" applyNumberFormat="1" applyFont="1" applyFill="1" applyBorder="1" applyAlignment="1" applyProtection="1">
      <protection locked="0"/>
    </xf>
    <xf numFmtId="3" fontId="1" fillId="0" borderId="16" xfId="13" applyNumberFormat="1" applyFont="1" applyFill="1" applyBorder="1" applyAlignment="1"/>
    <xf numFmtId="3" fontId="1" fillId="0" borderId="17" xfId="13" applyNumberFormat="1" applyFont="1" applyFill="1" applyBorder="1" applyAlignment="1"/>
    <xf numFmtId="0" fontId="3" fillId="0" borderId="0" xfId="0" applyNumberFormat="1" applyFont="1" applyFill="1" applyAlignment="1" applyProtection="1">
      <alignment horizontal="left"/>
    </xf>
    <xf numFmtId="3" fontId="30" fillId="0" borderId="365" xfId="18" applyNumberFormat="1" applyFont="1" applyFill="1" applyBorder="1" applyAlignment="1"/>
    <xf numFmtId="3" fontId="30" fillId="0" borderId="396" xfId="18" applyNumberFormat="1" applyFont="1" applyFill="1" applyBorder="1" applyAlignment="1"/>
    <xf numFmtId="3" fontId="8" fillId="0" borderId="0" xfId="14" applyNumberFormat="1" applyFont="1" applyFill="1" applyAlignment="1">
      <alignment horizontal="right"/>
    </xf>
    <xf numFmtId="0" fontId="28" fillId="0" borderId="0" xfId="14" applyFont="1" applyFill="1" applyAlignment="1"/>
    <xf numFmtId="186" fontId="29" fillId="0" borderId="0" xfId="14" applyNumberFormat="1" applyFont="1" applyFill="1" applyAlignment="1"/>
    <xf numFmtId="186" fontId="30" fillId="0" borderId="0" xfId="14" applyNumberFormat="1" applyFont="1" applyFill="1" applyAlignment="1"/>
    <xf numFmtId="0" fontId="29" fillId="0" borderId="0" xfId="14" applyNumberFormat="1" applyFont="1" applyFill="1" applyAlignment="1" applyProtection="1">
      <protection locked="0"/>
    </xf>
    <xf numFmtId="186" fontId="32" fillId="0" borderId="0" xfId="14" applyNumberFormat="1" applyFont="1" applyFill="1" applyAlignment="1"/>
    <xf numFmtId="0" fontId="29" fillId="0" borderId="0" xfId="14" applyFont="1" applyFill="1" applyAlignment="1"/>
    <xf numFmtId="0" fontId="8" fillId="0" borderId="0" xfId="14" applyFont="1" applyFill="1" applyAlignment="1">
      <alignment horizontal="right"/>
    </xf>
    <xf numFmtId="196" fontId="8" fillId="0" borderId="0" xfId="14" applyNumberFormat="1" applyFont="1" applyFill="1" applyAlignment="1">
      <alignment horizontal="right"/>
    </xf>
    <xf numFmtId="0" fontId="8" fillId="0" borderId="156" xfId="17" applyNumberFormat="1" applyFont="1" applyFill="1" applyBorder="1" applyAlignment="1" applyProtection="1">
      <alignment vertical="center" wrapText="1"/>
      <protection locked="0"/>
    </xf>
    <xf numFmtId="38" fontId="8" fillId="0" borderId="171" xfId="10" applyFont="1" applyFill="1" applyBorder="1" applyAlignment="1">
      <alignment horizontal="right" shrinkToFit="1"/>
    </xf>
    <xf numFmtId="38" fontId="8" fillId="0" borderId="192" xfId="10" applyFont="1" applyFill="1" applyBorder="1" applyAlignment="1">
      <alignment horizontal="right" shrinkToFit="1"/>
    </xf>
    <xf numFmtId="0" fontId="8" fillId="0" borderId="196" xfId="17" applyNumberFormat="1" applyFont="1" applyFill="1" applyBorder="1" applyAlignment="1" applyProtection="1">
      <alignment horizontal="center" shrinkToFit="1"/>
    </xf>
    <xf numFmtId="0" fontId="8" fillId="0" borderId="169" xfId="17" applyNumberFormat="1" applyFont="1" applyFill="1" applyBorder="1" applyAlignment="1" applyProtection="1">
      <alignment vertical="center"/>
      <protection locked="0"/>
    </xf>
    <xf numFmtId="38" fontId="8" fillId="0" borderId="169" xfId="10" applyFont="1" applyFill="1" applyBorder="1" applyAlignment="1">
      <alignment horizontal="right" shrinkToFit="1"/>
    </xf>
    <xf numFmtId="38" fontId="8" fillId="0" borderId="190" xfId="10" applyFont="1" applyFill="1" applyBorder="1" applyAlignment="1">
      <alignment horizontal="right" shrinkToFit="1"/>
    </xf>
    <xf numFmtId="38" fontId="8" fillId="0" borderId="201" xfId="17" applyNumberFormat="1" applyFont="1" applyFill="1" applyBorder="1" applyAlignment="1" applyProtection="1">
      <alignment horizontal="right" shrinkToFit="1"/>
    </xf>
    <xf numFmtId="0" fontId="8" fillId="0" borderId="155" xfId="17" applyNumberFormat="1" applyFont="1" applyFill="1" applyBorder="1" applyAlignment="1" applyProtection="1">
      <alignment vertical="center"/>
      <protection locked="0"/>
    </xf>
    <xf numFmtId="38" fontId="8" fillId="0" borderId="155" xfId="10" applyFont="1" applyFill="1" applyBorder="1" applyAlignment="1">
      <alignment horizontal="right" shrinkToFit="1"/>
    </xf>
    <xf numFmtId="38" fontId="8" fillId="0" borderId="191" xfId="10" applyFont="1" applyFill="1" applyBorder="1" applyAlignment="1">
      <alignment horizontal="right" shrinkToFit="1"/>
    </xf>
    <xf numFmtId="38" fontId="8" fillId="0" borderId="197" xfId="17" applyNumberFormat="1" applyFont="1" applyFill="1" applyBorder="1" applyAlignment="1" applyProtection="1">
      <alignment horizontal="right" shrinkToFit="1"/>
    </xf>
    <xf numFmtId="0" fontId="7" fillId="10" borderId="397" xfId="0" applyNumberFormat="1" applyFont="1" applyFill="1" applyBorder="1" applyAlignment="1" applyProtection="1">
      <protection locked="0"/>
    </xf>
    <xf numFmtId="0" fontId="7" fillId="10" borderId="398" xfId="0" applyNumberFormat="1" applyFont="1" applyFill="1" applyBorder="1" applyAlignment="1" applyProtection="1">
      <protection locked="0"/>
    </xf>
    <xf numFmtId="194" fontId="30" fillId="0" borderId="82" xfId="14" applyNumberFormat="1" applyFont="1" applyFill="1" applyBorder="1" applyAlignment="1"/>
    <xf numFmtId="196" fontId="1" fillId="0" borderId="89" xfId="13" applyNumberFormat="1" applyFont="1" applyBorder="1" applyAlignment="1"/>
    <xf numFmtId="0" fontId="11" fillId="0" borderId="376" xfId="13" applyNumberFormat="1" applyFont="1" applyBorder="1" applyAlignment="1"/>
    <xf numFmtId="0" fontId="82" fillId="4" borderId="3" xfId="0" applyNumberFormat="1" applyFont="1" applyFill="1" applyBorder="1" applyAlignment="1" applyProtection="1"/>
    <xf numFmtId="0" fontId="0" fillId="0" borderId="0" xfId="0" applyNumberFormat="1" applyAlignment="1" applyProtection="1">
      <protection locked="0"/>
    </xf>
    <xf numFmtId="38" fontId="0" fillId="0" borderId="0" xfId="0" applyNumberFormat="1" applyAlignment="1" applyProtection="1">
      <protection locked="0"/>
    </xf>
    <xf numFmtId="0" fontId="4" fillId="0" borderId="0" xfId="0" applyNumberFormat="1" applyFont="1" applyFill="1" applyBorder="1" applyAlignment="1" applyProtection="1"/>
    <xf numFmtId="0" fontId="1" fillId="0" borderId="46" xfId="0" applyNumberFormat="1" applyFont="1" applyBorder="1" applyAlignment="1" applyProtection="1">
      <alignment horizontal="center"/>
    </xf>
    <xf numFmtId="0" fontId="1" fillId="0" borderId="333" xfId="0" applyNumberFormat="1" applyFont="1" applyBorder="1" applyAlignment="1" applyProtection="1">
      <alignment horizontal="center"/>
    </xf>
    <xf numFmtId="0" fontId="7" fillId="16" borderId="351" xfId="0" applyNumberFormat="1" applyFont="1" applyFill="1" applyBorder="1" applyAlignment="1" applyProtection="1">
      <protection locked="0"/>
    </xf>
    <xf numFmtId="0" fontId="7" fillId="16" borderId="352" xfId="0" applyNumberFormat="1" applyFont="1" applyFill="1" applyBorder="1" applyAlignment="1" applyProtection="1">
      <protection locked="0"/>
    </xf>
    <xf numFmtId="0" fontId="7" fillId="16" borderId="399" xfId="0" applyNumberFormat="1" applyFont="1" applyFill="1" applyBorder="1" applyAlignment="1" applyProtection="1">
      <protection locked="0"/>
    </xf>
    <xf numFmtId="38" fontId="0" fillId="0" borderId="0" xfId="10" applyFont="1" applyAlignment="1" applyProtection="1">
      <protection locked="0"/>
    </xf>
    <xf numFmtId="0" fontId="0" fillId="0" borderId="0" xfId="0" applyNumberFormat="1" applyAlignment="1" applyProtection="1">
      <alignment vertical="center"/>
      <protection locked="0"/>
    </xf>
    <xf numFmtId="0" fontId="0" fillId="0" borderId="0" xfId="0" applyNumberFormat="1" applyFont="1" applyAlignment="1" applyProtection="1">
      <alignment vertical="center"/>
      <protection locked="0"/>
    </xf>
    <xf numFmtId="38" fontId="0" fillId="0" borderId="46" xfId="10" applyFont="1" applyBorder="1" applyAlignment="1" applyProtection="1">
      <alignment vertical="center" wrapText="1" shrinkToFit="1"/>
      <protection locked="0"/>
    </xf>
    <xf numFmtId="0" fontId="0" fillId="0" borderId="45" xfId="0" applyNumberFormat="1" applyBorder="1" applyAlignment="1" applyProtection="1">
      <alignment vertical="center"/>
      <protection locked="0"/>
    </xf>
    <xf numFmtId="38" fontId="0" fillId="0" borderId="46" xfId="10" applyFont="1" applyBorder="1" applyAlignment="1" applyProtection="1">
      <alignment vertical="center"/>
      <protection locked="0"/>
    </xf>
    <xf numFmtId="3" fontId="30" fillId="0" borderId="82" xfId="14" applyNumberFormat="1" applyFont="1" applyFill="1" applyBorder="1" applyAlignment="1">
      <alignment vertical="center"/>
    </xf>
    <xf numFmtId="0" fontId="30" fillId="0" borderId="79" xfId="14" applyFont="1" applyFill="1" applyBorder="1" applyAlignment="1">
      <alignment horizontal="center" vertical="center"/>
    </xf>
    <xf numFmtId="3" fontId="30" fillId="0" borderId="83" xfId="14" applyNumberFormat="1" applyFont="1" applyFill="1" applyBorder="1" applyAlignment="1">
      <alignment vertical="center"/>
    </xf>
    <xf numFmtId="0" fontId="30" fillId="0" borderId="81" xfId="14" applyFont="1" applyFill="1" applyBorder="1" applyAlignment="1">
      <alignment horizontal="center" vertical="center"/>
    </xf>
    <xf numFmtId="3" fontId="0" fillId="0" borderId="0" xfId="0" applyNumberFormat="1" applyAlignment="1" applyProtection="1">
      <alignment vertical="center"/>
      <protection locked="0"/>
    </xf>
    <xf numFmtId="38" fontId="0" fillId="0" borderId="46" xfId="0" applyNumberFormat="1" applyBorder="1" applyAlignment="1" applyProtection="1">
      <alignment vertical="center"/>
      <protection locked="0"/>
    </xf>
    <xf numFmtId="3" fontId="0" fillId="0" borderId="46" xfId="0" applyNumberFormat="1" applyBorder="1" applyAlignment="1" applyProtection="1">
      <alignment vertical="center"/>
      <protection locked="0"/>
    </xf>
    <xf numFmtId="38" fontId="0" fillId="0" borderId="46" xfId="10" applyNumberFormat="1" applyFont="1" applyBorder="1" applyAlignment="1" applyProtection="1">
      <alignment vertical="center"/>
      <protection locked="0"/>
    </xf>
    <xf numFmtId="38" fontId="0" fillId="0" borderId="46" xfId="0" applyNumberFormat="1" applyFont="1" applyBorder="1" applyAlignment="1" applyProtection="1">
      <alignment vertical="center"/>
      <protection locked="0"/>
    </xf>
    <xf numFmtId="3" fontId="30" fillId="0" borderId="46" xfId="14" applyNumberFormat="1" applyFont="1" applyFill="1" applyBorder="1" applyAlignment="1">
      <alignment vertical="center"/>
    </xf>
    <xf numFmtId="38" fontId="0" fillId="0" borderId="141" xfId="0" applyNumberFormat="1" applyFont="1" applyBorder="1" applyAlignment="1" applyProtection="1">
      <alignment vertical="center"/>
      <protection locked="0"/>
    </xf>
    <xf numFmtId="0" fontId="0" fillId="0" borderId="116" xfId="0" applyNumberFormat="1" applyBorder="1" applyAlignment="1" applyProtection="1">
      <alignment vertical="center"/>
      <protection locked="0"/>
    </xf>
    <xf numFmtId="3" fontId="0" fillId="0" borderId="141" xfId="0" applyNumberFormat="1" applyFont="1" applyBorder="1" applyAlignment="1" applyProtection="1">
      <alignment vertical="center"/>
      <protection locked="0"/>
    </xf>
    <xf numFmtId="38" fontId="0" fillId="0" borderId="0" xfId="10" applyFont="1" applyBorder="1" applyAlignment="1" applyProtection="1">
      <alignment vertical="center" wrapText="1" shrinkToFit="1"/>
      <protection locked="0"/>
    </xf>
    <xf numFmtId="0" fontId="0" fillId="0" borderId="0" xfId="0" applyNumberFormat="1" applyBorder="1" applyAlignment="1" applyProtection="1">
      <alignment vertical="center"/>
      <protection locked="0"/>
    </xf>
    <xf numFmtId="206" fontId="30" fillId="0" borderId="0" xfId="14" applyNumberFormat="1" applyFont="1" applyFill="1" applyBorder="1" applyAlignment="1">
      <alignment horizontal="center" vertical="center"/>
    </xf>
    <xf numFmtId="38" fontId="0" fillId="0" borderId="0" xfId="10" applyFont="1" applyBorder="1" applyAlignment="1" applyProtection="1">
      <alignment vertical="center"/>
      <protection locked="0"/>
    </xf>
    <xf numFmtId="38" fontId="0" fillId="0" borderId="0" xfId="0" applyNumberFormat="1" applyBorder="1" applyAlignment="1" applyProtection="1">
      <alignment vertical="center"/>
      <protection locked="0"/>
    </xf>
    <xf numFmtId="194" fontId="0" fillId="0" borderId="0" xfId="0" applyNumberFormat="1" applyFont="1" applyBorder="1" applyAlignment="1" applyProtection="1">
      <alignment horizontal="center" vertical="center"/>
      <protection locked="0"/>
    </xf>
    <xf numFmtId="3" fontId="0" fillId="0" borderId="0" xfId="0" applyNumberFormat="1" applyBorder="1" applyAlignment="1" applyProtection="1">
      <alignment vertical="center"/>
      <protection locked="0"/>
    </xf>
    <xf numFmtId="0" fontId="0" fillId="0" borderId="0" xfId="0" applyNumberFormat="1" applyFont="1" applyBorder="1" applyAlignment="1" applyProtection="1">
      <alignment horizontal="center" vertical="center"/>
      <protection locked="0"/>
    </xf>
    <xf numFmtId="38" fontId="0" fillId="0" borderId="0" xfId="10" applyNumberFormat="1" applyFont="1" applyBorder="1" applyAlignment="1" applyProtection="1">
      <alignment vertical="center"/>
      <protection locked="0"/>
    </xf>
    <xf numFmtId="186" fontId="32" fillId="17" borderId="0" xfId="14" applyNumberFormat="1" applyFont="1" applyFill="1" applyAlignment="1"/>
    <xf numFmtId="195" fontId="30" fillId="0" borderId="0" xfId="14" applyNumberFormat="1" applyFont="1" applyFill="1" applyAlignment="1"/>
    <xf numFmtId="0" fontId="0" fillId="0" borderId="86" xfId="16" applyFont="1" applyBorder="1" applyAlignment="1">
      <alignment horizontal="distributed" vertical="center" wrapText="1"/>
    </xf>
    <xf numFmtId="196" fontId="1" fillId="0" borderId="0" xfId="13" applyNumberFormat="1" applyFont="1" applyAlignment="1" applyProtection="1">
      <protection locked="0"/>
    </xf>
    <xf numFmtId="0" fontId="93" fillId="0" borderId="0" xfId="0" applyNumberFormat="1" applyFont="1" applyFill="1" applyAlignment="1" applyProtection="1">
      <alignment horizontal="center"/>
    </xf>
    <xf numFmtId="9" fontId="7" fillId="10" borderId="170" xfId="0" applyNumberFormat="1" applyFont="1" applyFill="1" applyBorder="1" applyAlignment="1" applyProtection="1">
      <protection locked="0"/>
    </xf>
    <xf numFmtId="0" fontId="94" fillId="0" borderId="59" xfId="0" applyNumberFormat="1" applyFont="1" applyFill="1" applyBorder="1" applyAlignment="1" applyProtection="1"/>
    <xf numFmtId="200" fontId="1" fillId="0" borderId="110" xfId="13" applyNumberFormat="1" applyFont="1" applyFill="1" applyBorder="1" applyAlignment="1" applyProtection="1">
      <protection locked="0"/>
    </xf>
    <xf numFmtId="200" fontId="1" fillId="0" borderId="33" xfId="13" applyNumberFormat="1" applyFont="1" applyFill="1" applyBorder="1" applyAlignment="1" applyProtection="1">
      <protection locked="0"/>
    </xf>
    <xf numFmtId="200" fontId="1" fillId="0" borderId="35" xfId="13" applyNumberFormat="1" applyFont="1" applyFill="1" applyBorder="1" applyAlignment="1" applyProtection="1">
      <protection locked="0"/>
    </xf>
    <xf numFmtId="194" fontId="1" fillId="0" borderId="400" xfId="13" applyNumberFormat="1" applyFont="1" applyFill="1" applyBorder="1" applyAlignment="1"/>
    <xf numFmtId="194" fontId="1" fillId="0" borderId="89" xfId="13" applyNumberFormat="1" applyFont="1" applyFill="1" applyBorder="1" applyAlignment="1"/>
    <xf numFmtId="194" fontId="1" fillId="0" borderId="401" xfId="13" applyNumberFormat="1" applyFont="1" applyFill="1" applyBorder="1" applyAlignment="1"/>
    <xf numFmtId="0" fontId="1" fillId="18" borderId="8" xfId="13" applyFont="1" applyFill="1" applyBorder="1" applyAlignment="1">
      <alignment horizontal="distributed"/>
    </xf>
    <xf numFmtId="176" fontId="1" fillId="18" borderId="405" xfId="13" applyNumberFormat="1" applyFont="1" applyFill="1" applyBorder="1" applyAlignment="1"/>
    <xf numFmtId="176" fontId="1" fillId="18" borderId="406" xfId="13" applyNumberFormat="1" applyFont="1" applyFill="1" applyBorder="1" applyAlignment="1">
      <alignment horizontal="distributed"/>
    </xf>
    <xf numFmtId="176" fontId="1" fillId="18" borderId="407" xfId="13" applyNumberFormat="1" applyFont="1" applyFill="1" applyBorder="1" applyAlignment="1"/>
    <xf numFmtId="176" fontId="1" fillId="18" borderId="408" xfId="13" applyNumberFormat="1" applyFont="1" applyFill="1" applyBorder="1" applyAlignment="1">
      <alignment horizontal="distributed"/>
    </xf>
    <xf numFmtId="0" fontId="1" fillId="18" borderId="16" xfId="13" applyFont="1" applyFill="1" applyBorder="1" applyAlignment="1">
      <alignment horizontal="distributed"/>
    </xf>
    <xf numFmtId="176" fontId="1" fillId="18" borderId="373" xfId="13" applyNumberFormat="1" applyFont="1" applyFill="1" applyBorder="1" applyAlignment="1"/>
    <xf numFmtId="176" fontId="1" fillId="18" borderId="372" xfId="13" applyNumberFormat="1" applyFont="1" applyFill="1" applyBorder="1" applyAlignment="1">
      <alignment horizontal="distributed"/>
    </xf>
    <xf numFmtId="176" fontId="1" fillId="18" borderId="387" xfId="13" applyNumberFormat="1" applyFont="1" applyFill="1" applyBorder="1" applyAlignment="1"/>
    <xf numFmtId="176" fontId="1" fillId="18" borderId="392" xfId="13" applyNumberFormat="1" applyFont="1" applyFill="1" applyBorder="1" applyAlignment="1">
      <alignment horizontal="distributed"/>
    </xf>
    <xf numFmtId="0" fontId="1" fillId="18" borderId="66" xfId="13" applyFont="1" applyFill="1" applyBorder="1" applyAlignment="1">
      <alignment horizontal="distributed"/>
    </xf>
    <xf numFmtId="0" fontId="1" fillId="18" borderId="176" xfId="13" applyFont="1" applyFill="1" applyBorder="1" applyAlignment="1">
      <alignment horizontal="distributed"/>
    </xf>
    <xf numFmtId="176" fontId="1" fillId="18" borderId="375" xfId="13" applyNumberFormat="1" applyFont="1" applyFill="1" applyBorder="1" applyAlignment="1"/>
    <xf numFmtId="176" fontId="1" fillId="18" borderId="374" xfId="13" applyNumberFormat="1" applyFont="1" applyFill="1" applyBorder="1" applyAlignment="1">
      <alignment horizontal="distributed"/>
    </xf>
    <xf numFmtId="176" fontId="1" fillId="18" borderId="404" xfId="13" applyNumberFormat="1" applyFont="1" applyFill="1" applyBorder="1" applyAlignment="1"/>
    <xf numFmtId="176" fontId="1" fillId="18" borderId="409" xfId="13" applyNumberFormat="1" applyFont="1" applyFill="1" applyBorder="1" applyAlignment="1">
      <alignment horizontal="distributed"/>
    </xf>
    <xf numFmtId="3" fontId="1" fillId="18" borderId="405" xfId="13" applyNumberFormat="1" applyFont="1" applyFill="1" applyBorder="1" applyAlignment="1"/>
    <xf numFmtId="3" fontId="1" fillId="18" borderId="407" xfId="13" applyNumberFormat="1" applyFont="1" applyFill="1" applyBorder="1" applyAlignment="1"/>
    <xf numFmtId="3" fontId="1" fillId="18" borderId="408" xfId="13" applyNumberFormat="1" applyFont="1" applyFill="1" applyBorder="1" applyAlignment="1">
      <alignment horizontal="distributed"/>
    </xf>
    <xf numFmtId="3" fontId="1" fillId="18" borderId="373" xfId="13" applyNumberFormat="1" applyFont="1" applyFill="1" applyBorder="1" applyAlignment="1"/>
    <xf numFmtId="3" fontId="1" fillId="18" borderId="387" xfId="13" applyNumberFormat="1" applyFont="1" applyFill="1" applyBorder="1" applyAlignment="1"/>
    <xf numFmtId="3" fontId="1" fillId="18" borderId="392" xfId="13" applyNumberFormat="1" applyFont="1" applyFill="1" applyBorder="1" applyAlignment="1">
      <alignment horizontal="distributed"/>
    </xf>
    <xf numFmtId="3" fontId="1" fillId="18" borderId="375" xfId="13" applyNumberFormat="1" applyFont="1" applyFill="1" applyBorder="1" applyAlignment="1"/>
    <xf numFmtId="3" fontId="1" fillId="18" borderId="404" xfId="13" applyNumberFormat="1" applyFont="1" applyFill="1" applyBorder="1" applyAlignment="1"/>
    <xf numFmtId="3" fontId="1" fillId="18" borderId="409" xfId="13" applyNumberFormat="1" applyFont="1" applyFill="1" applyBorder="1" applyAlignment="1">
      <alignment horizontal="distributed"/>
    </xf>
    <xf numFmtId="0" fontId="1" fillId="18" borderId="410" xfId="13" applyNumberFormat="1" applyFont="1" applyFill="1" applyBorder="1" applyAlignment="1" applyProtection="1">
      <protection locked="0"/>
    </xf>
    <xf numFmtId="199" fontId="1" fillId="18" borderId="110" xfId="13" applyNumberFormat="1" applyFont="1" applyFill="1" applyBorder="1" applyAlignment="1" applyProtection="1">
      <protection locked="0"/>
    </xf>
    <xf numFmtId="199" fontId="1" fillId="18" borderId="37" xfId="13" applyNumberFormat="1" applyFont="1" applyFill="1" applyBorder="1" applyAlignment="1" applyProtection="1">
      <protection locked="0"/>
    </xf>
    <xf numFmtId="0" fontId="0" fillId="0" borderId="0" xfId="0" applyNumberFormat="1" applyFont="1" applyBorder="1" applyAlignment="1" applyProtection="1">
      <protection locked="0"/>
    </xf>
    <xf numFmtId="176" fontId="0" fillId="0" borderId="0" xfId="0" applyFont="1" applyAlignment="1">
      <alignment vertical="center"/>
    </xf>
    <xf numFmtId="176" fontId="0" fillId="0" borderId="0" xfId="0" applyFont="1" applyFill="1" applyBorder="1" applyAlignment="1">
      <alignment vertical="center"/>
    </xf>
    <xf numFmtId="176" fontId="0" fillId="0" borderId="45" xfId="0" applyFont="1" applyBorder="1" applyAlignment="1">
      <alignment vertical="center"/>
    </xf>
    <xf numFmtId="176" fontId="0" fillId="0" borderId="3" xfId="0" applyFont="1" applyBorder="1" applyAlignment="1">
      <alignment vertical="center"/>
    </xf>
    <xf numFmtId="176" fontId="0" fillId="0" borderId="46" xfId="0" applyFont="1" applyBorder="1" applyAlignment="1">
      <alignment vertical="center"/>
    </xf>
    <xf numFmtId="176" fontId="0" fillId="0" borderId="0" xfId="0" applyFont="1"/>
    <xf numFmtId="176" fontId="92" fillId="0" borderId="0" xfId="0" applyFont="1" applyAlignment="1">
      <alignment horizontal="left"/>
    </xf>
    <xf numFmtId="176" fontId="8" fillId="0" borderId="59" xfId="0" applyFont="1" applyBorder="1" applyAlignment="1" applyProtection="1">
      <alignment horizontal="center" vertical="center"/>
    </xf>
    <xf numFmtId="1" fontId="8" fillId="0" borderId="59" xfId="0" applyNumberFormat="1" applyFont="1" applyBorder="1" applyAlignment="1" applyProtection="1">
      <alignment horizontal="right" vertical="center"/>
    </xf>
    <xf numFmtId="176" fontId="8" fillId="0" borderId="59" xfId="0" applyFont="1" applyBorder="1" applyAlignment="1" applyProtection="1">
      <alignment vertical="center"/>
    </xf>
    <xf numFmtId="1" fontId="8" fillId="0" borderId="238" xfId="0" applyNumberFormat="1" applyFont="1" applyBorder="1" applyAlignment="1" applyProtection="1">
      <alignment vertical="center"/>
    </xf>
    <xf numFmtId="1" fontId="27" fillId="0" borderId="411" xfId="0" applyNumberFormat="1" applyFont="1" applyBorder="1" applyProtection="1"/>
    <xf numFmtId="1" fontId="27" fillId="0" borderId="411" xfId="0" applyNumberFormat="1" applyFont="1" applyBorder="1" applyAlignment="1" applyProtection="1">
      <alignment horizontal="center" vertical="center"/>
    </xf>
    <xf numFmtId="1" fontId="27" fillId="0" borderId="411" xfId="0" applyNumberFormat="1" applyFont="1" applyBorder="1" applyAlignment="1" applyProtection="1">
      <alignment vertical="center"/>
    </xf>
    <xf numFmtId="1" fontId="27" fillId="0" borderId="411" xfId="0" applyNumberFormat="1" applyFont="1" applyBorder="1" applyAlignment="1" applyProtection="1">
      <alignment horizontal="center"/>
    </xf>
    <xf numFmtId="185" fontId="27" fillId="0" borderId="412" xfId="0" applyNumberFormat="1" applyFont="1" applyBorder="1" applyAlignment="1" applyProtection="1"/>
    <xf numFmtId="176" fontId="0" fillId="0" borderId="53" xfId="0" applyFont="1" applyBorder="1" applyAlignment="1">
      <alignment vertical="center"/>
    </xf>
    <xf numFmtId="176" fontId="0" fillId="0" borderId="104" xfId="0" applyFont="1" applyBorder="1" applyAlignment="1">
      <alignment vertical="center"/>
    </xf>
    <xf numFmtId="38" fontId="25" fillId="0" borderId="45" xfId="0" applyNumberFormat="1" applyFont="1" applyBorder="1" applyAlignment="1">
      <alignment vertical="center"/>
    </xf>
    <xf numFmtId="0" fontId="0" fillId="0" borderId="86" xfId="16" applyFont="1" applyBorder="1" applyAlignment="1">
      <alignment horizontal="distributed" vertical="center"/>
    </xf>
    <xf numFmtId="0" fontId="0" fillId="0" borderId="134" xfId="16" applyFont="1" applyBorder="1" applyAlignment="1">
      <alignment horizontal="distributed" vertical="center"/>
    </xf>
    <xf numFmtId="0" fontId="0" fillId="0" borderId="146" xfId="17" applyFont="1" applyBorder="1" applyAlignment="1">
      <alignment horizontal="distributed" vertical="center"/>
    </xf>
    <xf numFmtId="187" fontId="25" fillId="0" borderId="54" xfId="0" applyNumberFormat="1" applyFont="1" applyBorder="1" applyAlignment="1">
      <alignment horizontal="right" vertical="center"/>
    </xf>
    <xf numFmtId="38" fontId="32" fillId="0" borderId="0" xfId="10" applyFont="1" applyFill="1" applyAlignment="1"/>
    <xf numFmtId="232" fontId="30" fillId="0" borderId="0" xfId="14" applyNumberFormat="1" applyFont="1" applyFill="1" applyBorder="1" applyAlignment="1"/>
    <xf numFmtId="38" fontId="30" fillId="0" borderId="0" xfId="10" applyFont="1" applyFill="1" applyBorder="1" applyAlignment="1"/>
    <xf numFmtId="195" fontId="30" fillId="0" borderId="83" xfId="14" applyNumberFormat="1" applyFont="1" applyFill="1" applyBorder="1" applyAlignment="1"/>
    <xf numFmtId="233" fontId="30" fillId="0" borderId="4" xfId="18" applyNumberFormat="1" applyFont="1" applyFill="1" applyBorder="1" applyAlignment="1">
      <alignment horizontal="center" shrinkToFit="1"/>
    </xf>
    <xf numFmtId="0" fontId="1" fillId="0" borderId="72" xfId="13" applyFont="1" applyBorder="1" applyAlignment="1"/>
    <xf numFmtId="0" fontId="1" fillId="0" borderId="212" xfId="13" applyFont="1" applyBorder="1" applyAlignment="1">
      <alignment horizontal="center" vertical="center" wrapText="1"/>
    </xf>
    <xf numFmtId="0" fontId="1" fillId="0" borderId="212" xfId="13" applyFont="1" applyBorder="1" applyAlignment="1">
      <alignment horizontal="left" vertical="center" wrapText="1"/>
    </xf>
    <xf numFmtId="0" fontId="1" fillId="0" borderId="73" xfId="13" applyFont="1" applyBorder="1" applyAlignment="1">
      <alignment horizontal="left" vertical="center" wrapText="1"/>
    </xf>
    <xf numFmtId="0" fontId="1" fillId="0" borderId="509" xfId="13" applyFont="1" applyBorder="1" applyAlignment="1">
      <alignment horizontal="center"/>
    </xf>
    <xf numFmtId="0" fontId="1" fillId="0" borderId="146" xfId="13" applyFont="1" applyBorder="1" applyAlignment="1">
      <alignment horizontal="center"/>
    </xf>
    <xf numFmtId="0" fontId="1" fillId="0" borderId="511" xfId="13" applyFont="1" applyBorder="1" applyAlignment="1">
      <alignment horizontal="center"/>
    </xf>
    <xf numFmtId="0" fontId="1" fillId="0" borderId="512" xfId="13" applyNumberFormat="1" applyFont="1" applyBorder="1" applyAlignment="1" applyProtection="1">
      <protection locked="0"/>
    </xf>
    <xf numFmtId="3" fontId="1" fillId="0" borderId="512" xfId="13" applyNumberFormat="1" applyFont="1" applyBorder="1" applyAlignment="1"/>
    <xf numFmtId="3" fontId="1" fillId="0" borderId="513" xfId="13" applyNumberFormat="1" applyFont="1" applyBorder="1" applyAlignment="1"/>
    <xf numFmtId="196" fontId="1" fillId="0" borderId="271" xfId="13" applyNumberFormat="1" applyFont="1" applyFill="1" applyBorder="1" applyAlignment="1">
      <alignment horizontal="right"/>
    </xf>
    <xf numFmtId="196" fontId="1" fillId="0" borderId="69" xfId="13" applyNumberFormat="1" applyFont="1" applyFill="1" applyBorder="1" applyAlignment="1">
      <alignment horizontal="right"/>
    </xf>
    <xf numFmtId="196" fontId="1" fillId="0" borderId="70" xfId="13" applyNumberFormat="1" applyFont="1" applyFill="1" applyBorder="1" applyAlignment="1">
      <alignment horizontal="right"/>
    </xf>
    <xf numFmtId="3" fontId="1" fillId="0" borderId="18" xfId="13" applyNumberFormat="1" applyFont="1" applyBorder="1" applyAlignment="1" applyProtection="1"/>
    <xf numFmtId="3" fontId="1" fillId="0" borderId="234" xfId="13" applyNumberFormat="1" applyFont="1" applyBorder="1" applyAlignment="1" applyProtection="1"/>
    <xf numFmtId="3" fontId="1" fillId="0" borderId="369" xfId="13" applyNumberFormat="1" applyFont="1" applyFill="1" applyBorder="1" applyAlignment="1" applyProtection="1"/>
    <xf numFmtId="3" fontId="1" fillId="18" borderId="18" xfId="13" applyNumberFormat="1" applyFont="1" applyFill="1" applyBorder="1" applyAlignment="1" applyProtection="1"/>
    <xf numFmtId="3" fontId="1" fillId="0" borderId="17" xfId="13" applyNumberFormat="1" applyFont="1" applyBorder="1" applyAlignment="1" applyProtection="1"/>
    <xf numFmtId="3" fontId="1" fillId="0" borderId="269" xfId="13" applyNumberFormat="1" applyFont="1" applyBorder="1" applyAlignment="1" applyProtection="1"/>
    <xf numFmtId="3" fontId="1" fillId="0" borderId="69" xfId="13" applyNumberFormat="1" applyFont="1" applyFill="1" applyBorder="1" applyAlignment="1" applyProtection="1"/>
    <xf numFmtId="3" fontId="1" fillId="18" borderId="17" xfId="13" applyNumberFormat="1" applyFont="1" applyFill="1" applyBorder="1" applyAlignment="1" applyProtection="1"/>
    <xf numFmtId="3" fontId="1" fillId="0" borderId="513" xfId="13" applyNumberFormat="1" applyFont="1" applyBorder="1" applyAlignment="1" applyProtection="1"/>
    <xf numFmtId="3" fontId="1" fillId="0" borderId="514" xfId="13" applyNumberFormat="1" applyFont="1" applyBorder="1" applyAlignment="1" applyProtection="1"/>
    <xf numFmtId="3" fontId="1" fillId="0" borderId="514" xfId="13" applyNumberFormat="1" applyFont="1" applyFill="1" applyBorder="1" applyAlignment="1" applyProtection="1"/>
    <xf numFmtId="3" fontId="1" fillId="18" borderId="513" xfId="13" applyNumberFormat="1" applyFont="1" applyFill="1" applyBorder="1" applyAlignment="1" applyProtection="1"/>
    <xf numFmtId="0" fontId="1" fillId="0" borderId="18" xfId="13" applyFont="1" applyBorder="1" applyAlignment="1" applyProtection="1">
      <alignment horizontal="left" vertical="center" wrapText="1"/>
    </xf>
    <xf numFmtId="0" fontId="1" fillId="0" borderId="18" xfId="13" applyFont="1" applyFill="1" applyBorder="1" applyAlignment="1" applyProtection="1">
      <alignment horizontal="left" vertical="center" wrapText="1"/>
    </xf>
    <xf numFmtId="0" fontId="1" fillId="0" borderId="18" xfId="13" applyFont="1" applyFill="1" applyBorder="1" applyAlignment="1" applyProtection="1">
      <alignment horizontal="left" vertical="top" wrapText="1"/>
    </xf>
    <xf numFmtId="0" fontId="1" fillId="19" borderId="402" xfId="13" applyFont="1" applyFill="1" applyBorder="1" applyAlignment="1" applyProtection="1">
      <alignment horizontal="left" vertical="center" wrapText="1"/>
    </xf>
    <xf numFmtId="0" fontId="1" fillId="0" borderId="367" xfId="13" applyFont="1" applyFill="1" applyBorder="1" applyAlignment="1" applyProtection="1">
      <alignment horizontal="left" vertical="center" wrapText="1"/>
    </xf>
    <xf numFmtId="0" fontId="1" fillId="0" borderId="0" xfId="13" applyNumberFormat="1" applyFont="1" applyAlignment="1" applyProtection="1"/>
    <xf numFmtId="3" fontId="1" fillId="19" borderId="402" xfId="13" applyNumberFormat="1" applyFont="1" applyFill="1" applyBorder="1" applyAlignment="1" applyProtection="1"/>
    <xf numFmtId="223" fontId="1" fillId="0" borderId="362" xfId="0" applyNumberFormat="1" applyFont="1" applyFill="1" applyBorder="1" applyProtection="1"/>
    <xf numFmtId="38" fontId="1" fillId="0" borderId="0" xfId="10" applyFont="1" applyFill="1" applyAlignment="1" applyProtection="1"/>
    <xf numFmtId="0" fontId="1" fillId="0" borderId="0" xfId="13" applyNumberFormat="1" applyFont="1" applyFill="1" applyAlignment="1" applyProtection="1"/>
    <xf numFmtId="3" fontId="1" fillId="19" borderId="403" xfId="13" applyNumberFormat="1" applyFont="1" applyFill="1" applyBorder="1" applyAlignment="1" applyProtection="1"/>
    <xf numFmtId="223" fontId="1" fillId="0" borderId="68" xfId="0" applyNumberFormat="1" applyFont="1" applyFill="1" applyBorder="1" applyProtection="1"/>
    <xf numFmtId="3" fontId="1" fillId="0" borderId="17" xfId="13" applyNumberFormat="1" applyFont="1" applyFill="1" applyBorder="1" applyAlignment="1" applyProtection="1"/>
    <xf numFmtId="223" fontId="1" fillId="18" borderId="68" xfId="0" applyNumberFormat="1" applyFont="1" applyFill="1" applyBorder="1" applyProtection="1"/>
    <xf numFmtId="3" fontId="1" fillId="0" borderId="272" xfId="13" applyNumberFormat="1" applyFont="1" applyBorder="1" applyAlignment="1" applyProtection="1"/>
    <xf numFmtId="3" fontId="1" fillId="0" borderId="381" xfId="13" applyNumberFormat="1" applyFont="1" applyFill="1" applyBorder="1" applyAlignment="1" applyProtection="1"/>
    <xf numFmtId="3" fontId="1" fillId="18" borderId="272" xfId="13" applyNumberFormat="1" applyFont="1" applyFill="1" applyBorder="1" applyAlignment="1" applyProtection="1"/>
    <xf numFmtId="3" fontId="1" fillId="19" borderId="388" xfId="13" applyNumberFormat="1" applyFont="1" applyFill="1" applyBorder="1" applyAlignment="1" applyProtection="1"/>
    <xf numFmtId="223" fontId="1" fillId="0" borderId="273" xfId="0" applyNumberFormat="1" applyFont="1" applyFill="1" applyBorder="1" applyProtection="1"/>
    <xf numFmtId="196" fontId="1" fillId="0" borderId="271" xfId="13" applyNumberFormat="1" applyFont="1" applyFill="1" applyBorder="1" applyAlignment="1" applyProtection="1"/>
    <xf numFmtId="196" fontId="1" fillId="0" borderId="371" xfId="13" applyNumberFormat="1" applyFont="1" applyFill="1" applyBorder="1" applyAlignment="1" applyProtection="1"/>
    <xf numFmtId="196" fontId="1" fillId="0" borderId="271" xfId="13" applyNumberFormat="1" applyFont="1" applyFill="1" applyBorder="1" applyAlignment="1" applyProtection="1">
      <alignment vertical="center"/>
    </xf>
    <xf numFmtId="231" fontId="1" fillId="18" borderId="271" xfId="13" applyNumberFormat="1" applyFont="1" applyFill="1" applyBorder="1" applyAlignment="1" applyProtection="1"/>
    <xf numFmtId="231" fontId="1" fillId="18" borderId="371" xfId="13" applyNumberFormat="1" applyFont="1" applyFill="1" applyBorder="1" applyAlignment="1" applyProtection="1"/>
    <xf numFmtId="231" fontId="1" fillId="0" borderId="371" xfId="13" applyNumberFormat="1" applyFont="1" applyFill="1" applyBorder="1" applyAlignment="1" applyProtection="1"/>
    <xf numFmtId="231" fontId="1" fillId="19" borderId="386" xfId="13" applyNumberFormat="1" applyFont="1" applyFill="1" applyBorder="1" applyAlignment="1" applyProtection="1"/>
    <xf numFmtId="221" fontId="1" fillId="10" borderId="360" xfId="13" applyNumberFormat="1" applyFont="1" applyFill="1" applyBorder="1" applyAlignment="1" applyProtection="1">
      <alignment horizontal="right"/>
    </xf>
    <xf numFmtId="38" fontId="1" fillId="0" borderId="0" xfId="13" applyNumberFormat="1" applyFont="1" applyFill="1" applyAlignment="1" applyProtection="1"/>
    <xf numFmtId="196" fontId="1" fillId="0" borderId="69" xfId="13" applyNumberFormat="1" applyFont="1" applyFill="1" applyBorder="1" applyAlignment="1" applyProtection="1"/>
    <xf numFmtId="196" fontId="1" fillId="0" borderId="373" xfId="13" applyNumberFormat="1" applyFont="1" applyFill="1" applyBorder="1" applyAlignment="1" applyProtection="1"/>
    <xf numFmtId="196" fontId="1" fillId="0" borderId="69" xfId="13" applyNumberFormat="1" applyFont="1" applyFill="1" applyBorder="1" applyAlignment="1" applyProtection="1">
      <alignment vertical="center"/>
    </xf>
    <xf numFmtId="231" fontId="1" fillId="18" borderId="69" xfId="13" applyNumberFormat="1" applyFont="1" applyFill="1" applyBorder="1" applyAlignment="1" applyProtection="1"/>
    <xf numFmtId="231" fontId="1" fillId="18" borderId="373" xfId="13" applyNumberFormat="1" applyFont="1" applyFill="1" applyBorder="1" applyAlignment="1" applyProtection="1"/>
    <xf numFmtId="231" fontId="1" fillId="0" borderId="373" xfId="13" applyNumberFormat="1" applyFont="1" applyFill="1" applyBorder="1" applyAlignment="1" applyProtection="1"/>
    <xf numFmtId="231" fontId="1" fillId="19" borderId="387" xfId="13" applyNumberFormat="1" applyFont="1" applyFill="1" applyBorder="1" applyAlignment="1" applyProtection="1"/>
    <xf numFmtId="221" fontId="1" fillId="10" borderId="68" xfId="13" applyNumberFormat="1" applyFont="1" applyFill="1" applyBorder="1" applyAlignment="1" applyProtection="1">
      <alignment horizontal="right"/>
    </xf>
    <xf numFmtId="3" fontId="1" fillId="0" borderId="0" xfId="13" applyNumberFormat="1" applyFont="1" applyFill="1" applyAlignment="1" applyProtection="1"/>
    <xf numFmtId="196" fontId="1" fillId="0" borderId="70" xfId="13" applyNumberFormat="1" applyFont="1" applyFill="1" applyBorder="1" applyAlignment="1" applyProtection="1"/>
    <xf numFmtId="196" fontId="1" fillId="0" borderId="375" xfId="13" applyNumberFormat="1" applyFont="1" applyFill="1" applyBorder="1" applyAlignment="1" applyProtection="1"/>
    <xf numFmtId="196" fontId="1" fillId="0" borderId="70" xfId="13" applyNumberFormat="1" applyFont="1" applyFill="1" applyBorder="1" applyAlignment="1" applyProtection="1">
      <alignment vertical="center"/>
    </xf>
    <xf numFmtId="231" fontId="1" fillId="18" borderId="70" xfId="13" applyNumberFormat="1" applyFont="1" applyFill="1" applyBorder="1" applyAlignment="1" applyProtection="1"/>
    <xf numFmtId="231" fontId="1" fillId="18" borderId="375" xfId="13" applyNumberFormat="1" applyFont="1" applyFill="1" applyBorder="1" applyAlignment="1" applyProtection="1"/>
    <xf numFmtId="231" fontId="1" fillId="0" borderId="375" xfId="13" applyNumberFormat="1" applyFont="1" applyFill="1" applyBorder="1" applyAlignment="1" applyProtection="1"/>
    <xf numFmtId="231" fontId="1" fillId="19" borderId="404" xfId="13" applyNumberFormat="1" applyFont="1" applyFill="1" applyBorder="1" applyAlignment="1" applyProtection="1"/>
    <xf numFmtId="221" fontId="1" fillId="10" borderId="361" xfId="13" applyNumberFormat="1" applyFont="1" applyFill="1" applyBorder="1" applyAlignment="1" applyProtection="1">
      <alignment horizontal="right"/>
    </xf>
    <xf numFmtId="38" fontId="1" fillId="0" borderId="0" xfId="13" applyNumberFormat="1" applyFont="1" applyFill="1" applyBorder="1" applyAlignment="1" applyProtection="1"/>
    <xf numFmtId="3" fontId="1" fillId="0" borderId="18" xfId="13" applyNumberFormat="1" applyFont="1" applyFill="1" applyBorder="1" applyAlignment="1" applyProtection="1"/>
    <xf numFmtId="3" fontId="1" fillId="0" borderId="272" xfId="13" applyNumberFormat="1" applyFont="1" applyFill="1" applyBorder="1" applyAlignment="1" applyProtection="1"/>
    <xf numFmtId="0" fontId="1" fillId="0" borderId="271" xfId="13" applyFont="1" applyBorder="1" applyAlignment="1" applyProtection="1"/>
    <xf numFmtId="224" fontId="1" fillId="0" borderId="271" xfId="13" applyNumberFormat="1" applyFont="1" applyFill="1" applyBorder="1" applyAlignment="1" applyProtection="1">
      <alignment horizontal="right"/>
    </xf>
    <xf numFmtId="224" fontId="1" fillId="18" borderId="271" xfId="13" applyNumberFormat="1" applyFont="1" applyFill="1" applyBorder="1" applyAlignment="1" applyProtection="1">
      <alignment horizontal="right"/>
    </xf>
    <xf numFmtId="224" fontId="1" fillId="18" borderId="371" xfId="13" applyNumberFormat="1" applyFont="1" applyFill="1" applyBorder="1" applyAlignment="1" applyProtection="1">
      <alignment horizontal="right"/>
    </xf>
    <xf numFmtId="224" fontId="1" fillId="18" borderId="371" xfId="13" applyNumberFormat="1" applyFont="1" applyFill="1" applyBorder="1" applyAlignment="1" applyProtection="1"/>
    <xf numFmtId="0" fontId="1" fillId="19" borderId="386" xfId="13" applyFont="1" applyFill="1" applyBorder="1" applyAlignment="1" applyProtection="1"/>
    <xf numFmtId="221" fontId="1" fillId="10" borderId="362" xfId="13" applyNumberFormat="1" applyFont="1" applyFill="1" applyBorder="1" applyAlignment="1" applyProtection="1">
      <alignment horizontal="right"/>
    </xf>
    <xf numFmtId="0" fontId="1" fillId="0" borderId="69" xfId="13" applyFont="1" applyBorder="1" applyAlignment="1" applyProtection="1"/>
    <xf numFmtId="224" fontId="1" fillId="0" borderId="69" xfId="13" applyNumberFormat="1" applyFont="1" applyFill="1" applyBorder="1" applyAlignment="1" applyProtection="1">
      <alignment horizontal="right"/>
    </xf>
    <xf numFmtId="224" fontId="1" fillId="18" borderId="69" xfId="13" applyNumberFormat="1" applyFont="1" applyFill="1" applyBorder="1" applyAlignment="1" applyProtection="1">
      <alignment horizontal="right"/>
    </xf>
    <xf numFmtId="224" fontId="1" fillId="18" borderId="373" xfId="13" applyNumberFormat="1" applyFont="1" applyFill="1" applyBorder="1" applyAlignment="1" applyProtection="1">
      <alignment horizontal="right"/>
    </xf>
    <xf numFmtId="224" fontId="1" fillId="18" borderId="373" xfId="13" applyNumberFormat="1" applyFont="1" applyFill="1" applyBorder="1" applyAlignment="1" applyProtection="1"/>
    <xf numFmtId="0" fontId="1" fillId="19" borderId="387" xfId="13" applyFont="1" applyFill="1" applyBorder="1" applyAlignment="1" applyProtection="1"/>
    <xf numFmtId="0" fontId="1" fillId="0" borderId="70" xfId="13" applyFont="1" applyBorder="1" applyAlignment="1" applyProtection="1"/>
    <xf numFmtId="224" fontId="1" fillId="0" borderId="70" xfId="13" applyNumberFormat="1" applyFont="1" applyFill="1" applyBorder="1" applyAlignment="1" applyProtection="1">
      <alignment horizontal="right"/>
    </xf>
    <xf numFmtId="224" fontId="1" fillId="18" borderId="70" xfId="13" applyNumberFormat="1" applyFont="1" applyFill="1" applyBorder="1" applyAlignment="1" applyProtection="1">
      <alignment horizontal="right"/>
    </xf>
    <xf numFmtId="224" fontId="1" fillId="18" borderId="375" xfId="13" applyNumberFormat="1" applyFont="1" applyFill="1" applyBorder="1" applyAlignment="1" applyProtection="1">
      <alignment horizontal="right"/>
    </xf>
    <xf numFmtId="224" fontId="1" fillId="18" borderId="375" xfId="13" applyNumberFormat="1" applyFont="1" applyFill="1" applyBorder="1" applyAlignment="1" applyProtection="1"/>
    <xf numFmtId="0" fontId="1" fillId="19" borderId="404" xfId="13" applyFont="1" applyFill="1" applyBorder="1" applyAlignment="1" applyProtection="1"/>
    <xf numFmtId="0" fontId="1" fillId="0" borderId="73" xfId="13" applyFont="1" applyBorder="1" applyAlignment="1" applyProtection="1">
      <alignment horizontal="left" vertical="center" wrapText="1"/>
    </xf>
    <xf numFmtId="0" fontId="1" fillId="0" borderId="508" xfId="13" applyFont="1" applyFill="1" applyBorder="1" applyAlignment="1" applyProtection="1">
      <alignment horizontal="left" vertical="center" wrapText="1"/>
    </xf>
    <xf numFmtId="0" fontId="1" fillId="0" borderId="73" xfId="13" applyFont="1" applyFill="1" applyBorder="1" applyAlignment="1" applyProtection="1">
      <alignment horizontal="left" vertical="center" wrapText="1"/>
    </xf>
    <xf numFmtId="0" fontId="1" fillId="18" borderId="73" xfId="13" applyFont="1" applyFill="1" applyBorder="1" applyAlignment="1" applyProtection="1">
      <alignment horizontal="left" vertical="center" wrapText="1"/>
    </xf>
    <xf numFmtId="0" fontId="1" fillId="19" borderId="85" xfId="13" applyFont="1" applyFill="1" applyBorder="1" applyAlignment="1" applyProtection="1">
      <alignment horizontal="left" vertical="center" wrapText="1"/>
    </xf>
    <xf numFmtId="3" fontId="1" fillId="19" borderId="510" xfId="13" applyNumberFormat="1" applyFont="1" applyFill="1" applyBorder="1" applyAlignment="1" applyProtection="1"/>
    <xf numFmtId="3" fontId="1" fillId="19" borderId="188" xfId="13" applyNumberFormat="1" applyFont="1" applyFill="1" applyBorder="1" applyAlignment="1" applyProtection="1"/>
    <xf numFmtId="3" fontId="1" fillId="19" borderId="515" xfId="13" applyNumberFormat="1" applyFont="1" applyFill="1" applyBorder="1" applyAlignment="1" applyProtection="1"/>
    <xf numFmtId="233" fontId="7" fillId="10" borderId="413" xfId="0" applyNumberFormat="1" applyFont="1" applyFill="1" applyBorder="1" applyAlignment="1" applyProtection="1">
      <alignment horizontal="left" shrinkToFit="1"/>
      <protection locked="0"/>
    </xf>
    <xf numFmtId="233" fontId="7" fillId="10" borderId="416" xfId="0" applyNumberFormat="1" applyFont="1" applyFill="1" applyBorder="1" applyAlignment="1" applyProtection="1">
      <alignment horizontal="left" shrinkToFit="1"/>
      <protection locked="0"/>
    </xf>
    <xf numFmtId="233" fontId="7" fillId="10" borderId="414" xfId="0" applyNumberFormat="1" applyFont="1" applyFill="1" applyBorder="1" applyAlignment="1" applyProtection="1">
      <alignment horizontal="left" shrinkToFit="1"/>
      <protection locked="0"/>
    </xf>
    <xf numFmtId="0" fontId="7" fillId="0" borderId="105" xfId="0" applyNumberFormat="1" applyFont="1" applyFill="1" applyBorder="1" applyAlignment="1" applyProtection="1">
      <alignment horizontal="left"/>
    </xf>
    <xf numFmtId="0" fontId="7" fillId="0" borderId="0" xfId="0" applyNumberFormat="1" applyFont="1" applyFill="1" applyBorder="1" applyAlignment="1" applyProtection="1">
      <alignment horizontal="left"/>
    </xf>
    <xf numFmtId="0" fontId="7" fillId="10" borderId="192" xfId="0" applyNumberFormat="1" applyFont="1" applyFill="1" applyBorder="1" applyAlignment="1" applyProtection="1">
      <alignment horizontal="left" shrinkToFit="1"/>
      <protection locked="0"/>
    </xf>
    <xf numFmtId="0" fontId="7" fillId="10" borderId="415" xfId="0" applyNumberFormat="1" applyFont="1" applyFill="1" applyBorder="1" applyAlignment="1" applyProtection="1">
      <alignment horizontal="left" shrinkToFit="1"/>
      <protection locked="0"/>
    </xf>
    <xf numFmtId="0" fontId="7" fillId="10" borderId="416" xfId="0" applyNumberFormat="1" applyFont="1" applyFill="1" applyBorder="1" applyAlignment="1" applyProtection="1">
      <alignment horizontal="left" shrinkToFit="1"/>
      <protection locked="0"/>
    </xf>
    <xf numFmtId="0" fontId="7" fillId="10" borderId="414" xfId="0" applyNumberFormat="1" applyFont="1" applyFill="1" applyBorder="1" applyAlignment="1" applyProtection="1">
      <alignment horizontal="left" shrinkToFit="1"/>
      <protection locked="0"/>
    </xf>
    <xf numFmtId="0" fontId="7" fillId="10" borderId="190" xfId="0" applyNumberFormat="1" applyFont="1" applyFill="1" applyBorder="1" applyAlignment="1" applyProtection="1">
      <alignment horizontal="left" shrinkToFit="1"/>
      <protection locked="0"/>
    </xf>
    <xf numFmtId="0" fontId="7" fillId="10" borderId="417" xfId="0" applyNumberFormat="1" applyFont="1" applyFill="1" applyBorder="1" applyAlignment="1" applyProtection="1">
      <alignment horizontal="left" shrinkToFit="1"/>
      <protection locked="0"/>
    </xf>
    <xf numFmtId="0" fontId="7" fillId="10" borderId="418" xfId="0" applyNumberFormat="1" applyFont="1" applyFill="1" applyBorder="1" applyAlignment="1" applyProtection="1">
      <alignment horizontal="left" shrinkToFit="1"/>
      <protection locked="0"/>
    </xf>
    <xf numFmtId="0" fontId="7" fillId="10" borderId="191" xfId="0" applyNumberFormat="1" applyFont="1" applyFill="1" applyBorder="1" applyAlignment="1" applyProtection="1">
      <alignment horizontal="left" shrinkToFit="1"/>
      <protection locked="0"/>
    </xf>
    <xf numFmtId="0" fontId="7" fillId="10" borderId="419" xfId="0" applyNumberFormat="1" applyFont="1" applyFill="1" applyBorder="1" applyAlignment="1" applyProtection="1">
      <alignment horizontal="left" shrinkToFit="1"/>
      <protection locked="0"/>
    </xf>
    <xf numFmtId="0" fontId="7" fillId="10" borderId="420" xfId="0" applyNumberFormat="1" applyFont="1" applyFill="1" applyBorder="1" applyAlignment="1" applyProtection="1">
      <alignment horizontal="left" shrinkToFit="1"/>
      <protection locked="0"/>
    </xf>
    <xf numFmtId="233" fontId="7" fillId="10" borderId="239" xfId="0" applyNumberFormat="1" applyFont="1" applyFill="1" applyBorder="1" applyAlignment="1" applyProtection="1">
      <alignment horizontal="left"/>
      <protection locked="0"/>
    </xf>
    <xf numFmtId="233" fontId="7" fillId="10" borderId="106" xfId="0" applyNumberFormat="1" applyFont="1" applyFill="1" applyBorder="1" applyAlignment="1" applyProtection="1">
      <alignment horizontal="left"/>
      <protection locked="0"/>
    </xf>
    <xf numFmtId="233" fontId="7" fillId="10" borderId="45" xfId="0" applyNumberFormat="1" applyFont="1" applyFill="1" applyBorder="1" applyAlignment="1" applyProtection="1">
      <alignment horizontal="left"/>
      <protection locked="0"/>
    </xf>
    <xf numFmtId="0" fontId="7" fillId="10" borderId="239" xfId="0" applyNumberFormat="1" applyFont="1" applyFill="1" applyBorder="1" applyAlignment="1" applyProtection="1">
      <alignment horizontal="left"/>
      <protection locked="0"/>
    </xf>
    <xf numFmtId="0" fontId="7" fillId="10" borderId="106" xfId="0" applyNumberFormat="1" applyFont="1" applyFill="1" applyBorder="1" applyAlignment="1" applyProtection="1">
      <alignment horizontal="left"/>
      <protection locked="0"/>
    </xf>
    <xf numFmtId="0" fontId="7" fillId="10" borderId="47" xfId="0" applyNumberFormat="1" applyFont="1" applyFill="1" applyBorder="1" applyAlignment="1" applyProtection="1">
      <alignment horizontal="left"/>
      <protection locked="0"/>
    </xf>
    <xf numFmtId="0" fontId="7" fillId="10" borderId="105" xfId="0" applyNumberFormat="1" applyFont="1" applyFill="1" applyBorder="1" applyAlignment="1" applyProtection="1">
      <alignment horizontal="left" shrinkToFit="1"/>
      <protection locked="0"/>
    </xf>
    <xf numFmtId="0" fontId="7" fillId="10" borderId="0" xfId="0" applyNumberFormat="1" applyFont="1" applyFill="1" applyBorder="1" applyAlignment="1" applyProtection="1">
      <alignment horizontal="left" shrinkToFit="1"/>
      <protection locked="0"/>
    </xf>
    <xf numFmtId="0" fontId="7" fillId="10" borderId="2" xfId="0" applyNumberFormat="1" applyFont="1" applyFill="1" applyBorder="1" applyAlignment="1" applyProtection="1">
      <alignment horizontal="left" shrinkToFit="1"/>
      <protection locked="0"/>
    </xf>
    <xf numFmtId="0" fontId="7" fillId="10" borderId="45" xfId="0" applyNumberFormat="1" applyFont="1" applyFill="1" applyBorder="1" applyAlignment="1" applyProtection="1">
      <alignment horizontal="left" shrinkToFit="1"/>
      <protection locked="0"/>
    </xf>
    <xf numFmtId="0" fontId="7" fillId="10" borderId="106" xfId="0" applyNumberFormat="1" applyFont="1" applyFill="1" applyBorder="1" applyAlignment="1" applyProtection="1">
      <alignment horizontal="left" shrinkToFit="1"/>
      <protection locked="0"/>
    </xf>
    <xf numFmtId="4" fontId="84" fillId="0" borderId="344" xfId="19" applyNumberFormat="1" applyFont="1" applyBorder="1" applyAlignment="1" applyProtection="1">
      <alignment horizontal="left" wrapText="1"/>
    </xf>
    <xf numFmtId="0" fontId="11" fillId="0" borderId="105" xfId="19" applyNumberFormat="1" applyFont="1" applyBorder="1" applyAlignment="1" applyProtection="1">
      <alignment horizontal="left" vertical="center" wrapText="1"/>
    </xf>
    <xf numFmtId="0" fontId="11" fillId="0" borderId="0" xfId="19" applyNumberFormat="1" applyFont="1" applyBorder="1" applyAlignment="1" applyProtection="1">
      <alignment horizontal="left" vertical="center" wrapText="1"/>
    </xf>
    <xf numFmtId="0" fontId="55" fillId="0" borderId="421" xfId="19" applyFont="1" applyBorder="1" applyAlignment="1" applyProtection="1">
      <alignment horizontal="left" vertical="top" wrapText="1"/>
    </xf>
    <xf numFmtId="0" fontId="55" fillId="0" borderId="0" xfId="19" applyFont="1" applyBorder="1" applyAlignment="1" applyProtection="1">
      <alignment horizontal="left" vertical="top" wrapText="1"/>
    </xf>
    <xf numFmtId="0" fontId="11" fillId="0" borderId="107" xfId="19" applyNumberFormat="1" applyFont="1" applyBorder="1" applyAlignment="1" applyProtection="1">
      <alignment horizontal="right" vertical="center" wrapText="1"/>
    </xf>
    <xf numFmtId="0" fontId="11" fillId="0" borderId="0" xfId="20" applyFont="1" applyFill="1" applyBorder="1" applyAlignment="1" applyProtection="1">
      <alignment horizontal="left" shrinkToFit="1"/>
    </xf>
    <xf numFmtId="0" fontId="11" fillId="0" borderId="0" xfId="20" applyFont="1" applyFill="1" applyBorder="1" applyAlignment="1" applyProtection="1">
      <alignment horizontal="center" shrinkToFit="1"/>
    </xf>
    <xf numFmtId="225" fontId="82" fillId="0" borderId="105" xfId="20" applyNumberFormat="1" applyFont="1" applyBorder="1" applyAlignment="1" applyProtection="1">
      <alignment horizontal="left"/>
    </xf>
    <xf numFmtId="225" fontId="82" fillId="0" borderId="0" xfId="20" applyNumberFormat="1" applyFont="1" applyBorder="1" applyAlignment="1" applyProtection="1">
      <alignment horizontal="left"/>
    </xf>
    <xf numFmtId="176" fontId="0" fillId="0" borderId="0" xfId="0" applyFont="1" applyAlignment="1">
      <alignment horizontal="left" wrapText="1"/>
    </xf>
    <xf numFmtId="176" fontId="25" fillId="0" borderId="0" xfId="0" applyFont="1" applyAlignment="1">
      <alignment horizontal="left" wrapText="1"/>
    </xf>
    <xf numFmtId="233" fontId="39" fillId="0" borderId="0" xfId="0" applyNumberFormat="1" applyFont="1" applyAlignment="1">
      <alignment horizontal="distributed"/>
    </xf>
    <xf numFmtId="176" fontId="39" fillId="0" borderId="0" xfId="0" applyFont="1" applyAlignment="1">
      <alignment horizontal="left" shrinkToFit="1"/>
    </xf>
    <xf numFmtId="176" fontId="25" fillId="0" borderId="0" xfId="0" applyFont="1" applyAlignment="1">
      <alignment horizontal="left" shrinkToFit="1"/>
    </xf>
    <xf numFmtId="176" fontId="39" fillId="0" borderId="0" xfId="0" applyFont="1" applyAlignment="1">
      <alignment horizontal="distributed"/>
    </xf>
    <xf numFmtId="218" fontId="25" fillId="0" borderId="0" xfId="10" applyNumberFormat="1" applyFont="1" applyAlignment="1">
      <alignment horizontal="right"/>
    </xf>
    <xf numFmtId="176" fontId="0" fillId="0" borderId="0" xfId="0" applyFont="1" applyAlignment="1">
      <alignment horizontal="left" vertical="top" wrapText="1"/>
    </xf>
    <xf numFmtId="176" fontId="25" fillId="0" borderId="0" xfId="0" applyFont="1" applyAlignment="1">
      <alignment horizontal="left" vertical="top" wrapText="1"/>
    </xf>
    <xf numFmtId="176" fontId="8" fillId="0" borderId="0" xfId="0" applyFont="1" applyAlignment="1">
      <alignment horizontal="left" shrinkToFit="1"/>
    </xf>
    <xf numFmtId="176" fontId="8" fillId="0" borderId="0" xfId="0" applyFont="1" applyAlignment="1">
      <alignment horizontal="distributed" wrapText="1"/>
    </xf>
    <xf numFmtId="233" fontId="8" fillId="0" borderId="0" xfId="0" applyNumberFormat="1" applyFont="1" applyAlignment="1">
      <alignment horizontal="distributed"/>
    </xf>
    <xf numFmtId="218" fontId="8" fillId="0" borderId="0" xfId="10" applyNumberFormat="1" applyFont="1" applyAlignment="1">
      <alignment horizontal="right"/>
    </xf>
    <xf numFmtId="176" fontId="8" fillId="0" borderId="0" xfId="0" applyFont="1" applyAlignment="1">
      <alignment horizontal="left" vertical="top" wrapText="1"/>
    </xf>
    <xf numFmtId="176" fontId="9" fillId="0" borderId="0" xfId="0" applyFont="1" applyAlignment="1">
      <alignment horizontal="center"/>
    </xf>
    <xf numFmtId="176" fontId="0" fillId="0" borderId="104" xfId="0" applyFont="1" applyBorder="1" applyAlignment="1">
      <alignment horizontal="center" vertical="center"/>
    </xf>
    <xf numFmtId="176" fontId="8" fillId="0" borderId="49" xfId="0" applyFont="1" applyBorder="1" applyAlignment="1">
      <alignment horizontal="center" vertical="center"/>
    </xf>
    <xf numFmtId="176" fontId="8" fillId="0" borderId="239" xfId="0" applyFont="1" applyBorder="1" applyAlignment="1">
      <alignment horizontal="center" vertical="center"/>
    </xf>
    <xf numFmtId="176" fontId="8" fillId="0" borderId="47" xfId="0" applyFont="1" applyBorder="1" applyAlignment="1">
      <alignment horizontal="center" vertical="center"/>
    </xf>
    <xf numFmtId="176" fontId="8" fillId="0" borderId="104" xfId="0" applyFont="1" applyBorder="1" applyAlignment="1">
      <alignment horizontal="center" vertical="center"/>
    </xf>
    <xf numFmtId="176" fontId="8" fillId="0" borderId="104" xfId="0" applyFont="1" applyBorder="1" applyAlignment="1">
      <alignment horizontal="left" vertical="center"/>
    </xf>
    <xf numFmtId="176" fontId="8" fillId="0" borderId="59" xfId="0" applyFont="1" applyBorder="1" applyAlignment="1">
      <alignment horizontal="left" vertical="center"/>
    </xf>
    <xf numFmtId="176" fontId="8" fillId="0" borderId="49" xfId="0" applyFont="1" applyBorder="1" applyAlignment="1">
      <alignment horizontal="left" vertical="center"/>
    </xf>
    <xf numFmtId="176" fontId="8" fillId="0" borderId="239" xfId="0" applyFont="1" applyBorder="1" applyAlignment="1">
      <alignment horizontal="left" vertical="center"/>
    </xf>
    <xf numFmtId="176" fontId="8" fillId="0" borderId="106" xfId="0" applyFont="1" applyBorder="1" applyAlignment="1">
      <alignment horizontal="left" vertical="center"/>
    </xf>
    <xf numFmtId="176" fontId="8" fillId="0" borderId="47" xfId="0" applyFont="1" applyBorder="1" applyAlignment="1">
      <alignment horizontal="left" vertical="center"/>
    </xf>
    <xf numFmtId="197" fontId="8" fillId="0" borderId="104" xfId="0" applyNumberFormat="1" applyFont="1" applyBorder="1" applyAlignment="1">
      <alignment horizontal="left" vertical="center" indent="1"/>
    </xf>
    <xf numFmtId="197" fontId="8" fillId="0" borderId="59" xfId="0" applyNumberFormat="1" applyFont="1" applyBorder="1" applyAlignment="1">
      <alignment horizontal="left" vertical="center" indent="1"/>
    </xf>
    <xf numFmtId="197" fontId="8" fillId="0" borderId="49" xfId="0" applyNumberFormat="1" applyFont="1" applyBorder="1" applyAlignment="1">
      <alignment horizontal="left" vertical="center" indent="1"/>
    </xf>
    <xf numFmtId="197" fontId="8" fillId="0" borderId="239" xfId="0" applyNumberFormat="1" applyFont="1" applyBorder="1" applyAlignment="1">
      <alignment horizontal="left" vertical="center" indent="1"/>
    </xf>
    <xf numFmtId="197" fontId="8" fillId="0" borderId="106" xfId="0" applyNumberFormat="1" applyFont="1" applyBorder="1" applyAlignment="1">
      <alignment horizontal="left" vertical="center" indent="1"/>
    </xf>
    <xf numFmtId="197" fontId="8" fillId="0" borderId="47" xfId="0" applyNumberFormat="1" applyFont="1" applyBorder="1" applyAlignment="1">
      <alignment horizontal="left" vertical="center" indent="1"/>
    </xf>
    <xf numFmtId="176" fontId="8" fillId="0" borderId="0" xfId="0" applyFont="1" applyBorder="1" applyAlignment="1" applyProtection="1">
      <alignment horizontal="center"/>
    </xf>
    <xf numFmtId="1" fontId="8" fillId="0" borderId="359" xfId="0" applyNumberFormat="1" applyFont="1" applyBorder="1" applyAlignment="1" applyProtection="1">
      <alignment horizontal="center" vertical="center"/>
    </xf>
    <xf numFmtId="176" fontId="8" fillId="0" borderId="234" xfId="0" applyFont="1" applyBorder="1" applyAlignment="1">
      <alignment horizontal="center" vertical="center"/>
    </xf>
    <xf numFmtId="176" fontId="8" fillId="0" borderId="310" xfId="0" applyFont="1" applyBorder="1" applyAlignment="1">
      <alignment horizontal="center" vertical="center"/>
    </xf>
    <xf numFmtId="1" fontId="0" fillId="0" borderId="427" xfId="0" applyNumberFormat="1" applyFont="1" applyBorder="1" applyAlignment="1" applyProtection="1">
      <alignment horizontal="center" vertical="center"/>
    </xf>
    <xf numFmtId="176" fontId="8" fillId="0" borderId="427" xfId="0" applyFont="1" applyBorder="1" applyAlignment="1">
      <alignment horizontal="center" vertical="center"/>
    </xf>
    <xf numFmtId="1" fontId="0" fillId="0" borderId="6" xfId="0" applyNumberFormat="1" applyFont="1" applyBorder="1" applyAlignment="1" applyProtection="1">
      <alignment horizontal="center" vertical="center"/>
    </xf>
    <xf numFmtId="1" fontId="8" fillId="0" borderId="6" xfId="0" applyNumberFormat="1" applyFont="1" applyBorder="1" applyAlignment="1" applyProtection="1">
      <alignment horizontal="center" vertical="center"/>
    </xf>
    <xf numFmtId="1" fontId="27" fillId="0" borderId="55" xfId="0" applyNumberFormat="1" applyFont="1" applyBorder="1" applyAlignment="1" applyProtection="1">
      <alignment horizontal="center"/>
    </xf>
    <xf numFmtId="176" fontId="27" fillId="0" borderId="428" xfId="0" applyFont="1" applyBorder="1" applyAlignment="1">
      <alignment horizontal="center"/>
    </xf>
    <xf numFmtId="37" fontId="8" fillId="0" borderId="429" xfId="0" applyNumberFormat="1" applyFont="1" applyBorder="1" applyAlignment="1" applyProtection="1">
      <alignment horizontal="center" vertical="center" shrinkToFit="1"/>
    </xf>
    <xf numFmtId="37" fontId="8" fillId="0" borderId="250" xfId="0" applyNumberFormat="1" applyFont="1" applyBorder="1" applyAlignment="1" applyProtection="1">
      <alignment horizontal="center" vertical="center" shrinkToFit="1"/>
    </xf>
    <xf numFmtId="1" fontId="8" fillId="0" borderId="430" xfId="0" applyNumberFormat="1" applyFont="1" applyBorder="1" applyAlignment="1" applyProtection="1">
      <alignment vertical="center" textRotation="255"/>
    </xf>
    <xf numFmtId="176" fontId="8" fillId="0" borderId="234" xfId="0" applyFont="1" applyBorder="1" applyAlignment="1">
      <alignment vertical="center" textRotation="255"/>
    </xf>
    <xf numFmtId="176" fontId="8" fillId="0" borderId="310" xfId="0" applyFont="1" applyBorder="1" applyAlignment="1">
      <alignment vertical="center" textRotation="255"/>
    </xf>
    <xf numFmtId="37" fontId="27" fillId="0" borderId="431" xfId="0" applyNumberFormat="1" applyFont="1" applyBorder="1" applyAlignment="1" applyProtection="1">
      <alignment horizontal="center" vertical="center" shrinkToFit="1"/>
    </xf>
    <xf numFmtId="37" fontId="27" fillId="0" borderId="432" xfId="0" applyNumberFormat="1" applyFont="1" applyBorder="1" applyAlignment="1" applyProtection="1">
      <alignment horizontal="center" vertical="center" shrinkToFit="1"/>
    </xf>
    <xf numFmtId="37" fontId="27" fillId="0" borderId="73" xfId="0" applyNumberFormat="1" applyFont="1" applyBorder="1" applyAlignment="1" applyProtection="1">
      <alignment horizontal="center" vertical="center" shrinkToFit="1"/>
    </xf>
    <xf numFmtId="37" fontId="27" fillId="0" borderId="74" xfId="0" applyNumberFormat="1" applyFont="1" applyBorder="1" applyAlignment="1" applyProtection="1">
      <alignment horizontal="center" vertical="center" shrinkToFit="1"/>
    </xf>
    <xf numFmtId="37" fontId="27" fillId="0" borderId="75" xfId="0" applyNumberFormat="1" applyFont="1" applyBorder="1" applyAlignment="1" applyProtection="1">
      <alignment horizontal="center" vertical="center" shrinkToFit="1"/>
    </xf>
    <xf numFmtId="37" fontId="27" fillId="0" borderId="354" xfId="0" applyNumberFormat="1" applyFont="1" applyBorder="1" applyAlignment="1" applyProtection="1">
      <alignment horizontal="center" vertical="center" shrinkToFit="1"/>
    </xf>
    <xf numFmtId="37" fontId="27" fillId="0" borderId="106" xfId="0" applyNumberFormat="1" applyFont="1" applyBorder="1" applyAlignment="1" applyProtection="1">
      <alignment horizontal="center" vertical="center" shrinkToFit="1"/>
    </xf>
    <xf numFmtId="37" fontId="27" fillId="0" borderId="433" xfId="0" applyNumberFormat="1" applyFont="1" applyBorder="1" applyAlignment="1" applyProtection="1">
      <alignment horizontal="center" vertical="center" shrinkToFit="1"/>
    </xf>
    <xf numFmtId="176" fontId="8" fillId="0" borderId="429" xfId="0" applyFont="1" applyBorder="1" applyAlignment="1" applyProtection="1">
      <alignment horizontal="center" vertical="center" shrinkToFit="1"/>
    </xf>
    <xf numFmtId="176" fontId="8" fillId="0" borderId="434" xfId="0" applyFont="1" applyBorder="1" applyAlignment="1" applyProtection="1">
      <alignment horizontal="center" vertical="center" shrinkToFit="1"/>
    </xf>
    <xf numFmtId="1" fontId="27" fillId="0" borderId="55" xfId="0" applyNumberFormat="1" applyFont="1" applyBorder="1" applyAlignment="1" applyProtection="1">
      <alignment horizontal="center" vertical="center"/>
    </xf>
    <xf numFmtId="176" fontId="27" fillId="0" borderId="428" xfId="0" applyFont="1" applyBorder="1" applyAlignment="1">
      <alignment horizontal="center" vertical="center"/>
    </xf>
    <xf numFmtId="176" fontId="0" fillId="0" borderId="0" xfId="0" quotePrefix="1" applyBorder="1" applyAlignment="1" applyProtection="1">
      <alignment horizontal="center" vertical="center"/>
    </xf>
    <xf numFmtId="176" fontId="27" fillId="0" borderId="180" xfId="0" applyFont="1" applyBorder="1" applyAlignment="1">
      <alignment horizontal="center" vertical="center"/>
    </xf>
    <xf numFmtId="1" fontId="8" fillId="0" borderId="435" xfId="0" applyNumberFormat="1" applyFont="1" applyBorder="1" applyAlignment="1" applyProtection="1">
      <alignment horizontal="center" vertical="center" wrapText="1"/>
    </xf>
    <xf numFmtId="176" fontId="8" fillId="0" borderId="436" xfId="0" applyFont="1" applyBorder="1" applyAlignment="1">
      <alignment horizontal="center" vertical="center" wrapText="1"/>
    </xf>
    <xf numFmtId="176" fontId="8" fillId="0" borderId="437" xfId="0" applyFont="1" applyBorder="1" applyAlignment="1">
      <alignment horizontal="center" vertical="center" wrapText="1"/>
    </xf>
    <xf numFmtId="1" fontId="0" fillId="0" borderId="438" xfId="0" applyNumberFormat="1" applyFont="1" applyBorder="1" applyAlignment="1" applyProtection="1">
      <alignment horizontal="center" vertical="center" wrapText="1"/>
    </xf>
    <xf numFmtId="1" fontId="8" fillId="0" borderId="427" xfId="0" applyNumberFormat="1" applyFont="1" applyBorder="1" applyAlignment="1" applyProtection="1">
      <alignment horizontal="center" vertical="center"/>
    </xf>
    <xf numFmtId="185" fontId="8" fillId="0" borderId="395" xfId="0" applyNumberFormat="1" applyFont="1" applyBorder="1" applyAlignment="1" applyProtection="1">
      <alignment horizontal="right" vertical="center"/>
    </xf>
    <xf numFmtId="185" fontId="8" fillId="0" borderId="439" xfId="0" applyNumberFormat="1" applyFont="1" applyBorder="1" applyAlignment="1" applyProtection="1">
      <alignment horizontal="right" vertical="center"/>
    </xf>
    <xf numFmtId="208" fontId="58" fillId="0" borderId="46" xfId="17" applyNumberFormat="1" applyFont="1" applyFill="1" applyBorder="1" applyAlignment="1">
      <alignment horizontal="right" vertical="center" shrinkToFit="1"/>
    </xf>
    <xf numFmtId="208" fontId="58" fillId="0" borderId="2" xfId="17" applyNumberFormat="1" applyFont="1" applyFill="1" applyBorder="1" applyAlignment="1">
      <alignment horizontal="right" vertical="center" shrinkToFit="1"/>
    </xf>
    <xf numFmtId="0" fontId="27" fillId="0" borderId="440" xfId="0" applyNumberFormat="1" applyFont="1" applyBorder="1" applyAlignment="1" applyProtection="1">
      <alignment horizontal="center" vertical="center" wrapText="1" shrinkToFit="1" readingOrder="1"/>
    </xf>
    <xf numFmtId="0" fontId="27" fillId="0" borderId="105" xfId="0" applyNumberFormat="1" applyFont="1" applyBorder="1" applyAlignment="1" applyProtection="1">
      <alignment horizontal="center" vertical="center" wrapText="1" shrinkToFit="1" readingOrder="1"/>
    </xf>
    <xf numFmtId="0" fontId="27" fillId="0" borderId="239" xfId="0" applyNumberFormat="1" applyFont="1" applyBorder="1" applyAlignment="1" applyProtection="1">
      <alignment horizontal="center" vertical="center" wrapText="1" shrinkToFit="1" readingOrder="1"/>
    </xf>
    <xf numFmtId="1" fontId="8" fillId="0" borderId="48" xfId="0" applyNumberFormat="1" applyFont="1" applyBorder="1" applyAlignment="1" applyProtection="1">
      <alignment horizontal="center"/>
    </xf>
    <xf numFmtId="176" fontId="8" fillId="0" borderId="249" xfId="0" applyFont="1" applyBorder="1" applyAlignment="1">
      <alignment horizontal="center"/>
    </xf>
    <xf numFmtId="1" fontId="8" fillId="0" borderId="59" xfId="0" applyNumberFormat="1" applyFont="1" applyBorder="1" applyAlignment="1" applyProtection="1">
      <alignment horizontal="center" vertical="center"/>
    </xf>
    <xf numFmtId="176" fontId="8" fillId="0" borderId="0" xfId="0" applyFont="1" applyBorder="1" applyAlignment="1">
      <alignment horizontal="center" vertical="center"/>
    </xf>
    <xf numFmtId="176" fontId="27" fillId="0" borderId="425" xfId="0" applyFont="1" applyBorder="1" applyAlignment="1" applyProtection="1">
      <alignment horizontal="center" vertical="center" textRotation="255" shrinkToFit="1"/>
    </xf>
    <xf numFmtId="176" fontId="27" fillId="0" borderId="105" xfId="0" applyFont="1" applyBorder="1" applyAlignment="1" applyProtection="1">
      <alignment horizontal="center" vertical="center" textRotation="255" shrinkToFit="1"/>
    </xf>
    <xf numFmtId="176" fontId="27" fillId="0" borderId="426" xfId="0" applyFont="1" applyBorder="1" applyAlignment="1" applyProtection="1">
      <alignment horizontal="center" vertical="center" textRotation="255" shrinkToFit="1"/>
    </xf>
    <xf numFmtId="176" fontId="0" fillId="0" borderId="59" xfId="0" quotePrefix="1" applyBorder="1" applyAlignment="1" applyProtection="1">
      <alignment horizontal="center" vertical="center"/>
    </xf>
    <xf numFmtId="0" fontId="0" fillId="0" borderId="0" xfId="0" applyNumberFormat="1" applyFont="1" applyBorder="1" applyAlignment="1" applyProtection="1">
      <alignment vertical="center"/>
      <protection locked="0"/>
    </xf>
    <xf numFmtId="1" fontId="8" fillId="0" borderId="55" xfId="0" applyNumberFormat="1" applyFont="1" applyBorder="1" applyAlignment="1" applyProtection="1">
      <alignment horizontal="center" vertical="center"/>
    </xf>
    <xf numFmtId="176" fontId="8" fillId="0" borderId="428" xfId="0" applyFont="1" applyBorder="1" applyAlignment="1">
      <alignment horizontal="center" vertical="center"/>
    </xf>
    <xf numFmtId="185" fontId="8" fillId="0" borderId="5" xfId="0" applyNumberFormat="1" applyFont="1" applyFill="1" applyBorder="1" applyAlignment="1" applyProtection="1">
      <alignment horizontal="right" vertical="center"/>
    </xf>
    <xf numFmtId="185" fontId="8" fillId="0" borderId="0" xfId="0" applyNumberFormat="1" applyFont="1" applyFill="1" applyBorder="1" applyAlignment="1" applyProtection="1">
      <alignment horizontal="right" vertical="center"/>
    </xf>
    <xf numFmtId="176" fontId="27" fillId="0" borderId="422" xfId="0" applyFont="1" applyBorder="1" applyAlignment="1" applyProtection="1">
      <alignment horizontal="center" vertical="center" textRotation="255" shrinkToFit="1"/>
    </xf>
    <xf numFmtId="176" fontId="27" fillId="0" borderId="423" xfId="0" applyFont="1" applyBorder="1" applyAlignment="1" applyProtection="1">
      <alignment horizontal="center" vertical="center" textRotation="255" shrinkToFit="1"/>
    </xf>
    <xf numFmtId="176" fontId="27" fillId="0" borderId="424" xfId="0" applyFont="1" applyBorder="1" applyAlignment="1" applyProtection="1">
      <alignment horizontal="center" vertical="center" textRotation="255" shrinkToFit="1"/>
    </xf>
    <xf numFmtId="10" fontId="27" fillId="0" borderId="235" xfId="0" applyNumberFormat="1" applyFont="1" applyBorder="1" applyAlignment="1" applyProtection="1">
      <alignment horizontal="center" vertical="center"/>
    </xf>
    <xf numFmtId="10" fontId="27" fillId="0" borderId="121" xfId="0" applyNumberFormat="1" applyFont="1" applyBorder="1" applyAlignment="1">
      <alignment horizontal="center" vertical="center"/>
    </xf>
    <xf numFmtId="1" fontId="27" fillId="0" borderId="57" xfId="0" applyNumberFormat="1" applyFont="1" applyBorder="1" applyAlignment="1" applyProtection="1">
      <alignment horizontal="center" vertical="center"/>
    </xf>
    <xf numFmtId="176" fontId="27" fillId="0" borderId="441" xfId="0" applyFont="1" applyBorder="1" applyAlignment="1">
      <alignment horizontal="center" vertical="center"/>
    </xf>
    <xf numFmtId="176" fontId="27" fillId="0" borderId="0" xfId="0" applyFont="1" applyBorder="1" applyAlignment="1" applyProtection="1">
      <alignment horizontal="center" vertical="center"/>
    </xf>
    <xf numFmtId="176" fontId="0" fillId="0" borderId="72" xfId="0" applyFont="1" applyBorder="1" applyAlignment="1" applyProtection="1">
      <alignment horizontal="center" vertical="center" textRotation="255" shrinkToFit="1"/>
    </xf>
    <xf numFmtId="176" fontId="27" fillId="0" borderId="55" xfId="0" applyFont="1" applyBorder="1" applyAlignment="1" applyProtection="1">
      <alignment horizontal="center" vertical="center" textRotation="255" shrinkToFit="1"/>
    </xf>
    <xf numFmtId="176" fontId="27" fillId="0" borderId="57" xfId="0" applyFont="1" applyBorder="1" applyAlignment="1" applyProtection="1">
      <alignment horizontal="center" vertical="center" textRotation="255" shrinkToFit="1"/>
    </xf>
    <xf numFmtId="0" fontId="27" fillId="0" borderId="442" xfId="0" applyNumberFormat="1" applyFont="1" applyBorder="1" applyAlignment="1" applyProtection="1">
      <alignment horizontal="center" vertical="center" textRotation="255" shrinkToFit="1" readingOrder="1"/>
    </xf>
    <xf numFmtId="0" fontId="27" fillId="0" borderId="423" xfId="0" applyNumberFormat="1" applyFont="1" applyBorder="1" applyAlignment="1" applyProtection="1">
      <alignment horizontal="center" vertical="center" textRotation="255" shrinkToFit="1" readingOrder="1"/>
    </xf>
    <xf numFmtId="0" fontId="27" fillId="0" borderId="424" xfId="0" applyNumberFormat="1" applyFont="1" applyBorder="1" applyAlignment="1" applyProtection="1">
      <alignment horizontal="center" vertical="center" textRotation="255" shrinkToFit="1" readingOrder="1"/>
    </xf>
    <xf numFmtId="176" fontId="27" fillId="0" borderId="72" xfId="0" applyFont="1" applyBorder="1" applyAlignment="1" applyProtection="1">
      <alignment horizontal="center" vertical="center" textRotation="255" shrinkToFit="1"/>
    </xf>
    <xf numFmtId="176" fontId="0" fillId="0" borderId="5" xfId="0" applyFont="1" applyBorder="1" applyAlignment="1" applyProtection="1">
      <alignment horizontal="center" vertical="center"/>
    </xf>
    <xf numFmtId="176" fontId="27" fillId="0" borderId="181" xfId="0" applyFont="1" applyBorder="1" applyAlignment="1" applyProtection="1">
      <alignment horizontal="center" vertical="center"/>
    </xf>
    <xf numFmtId="176" fontId="27" fillId="0" borderId="180" xfId="0" applyFont="1" applyBorder="1" applyAlignment="1" applyProtection="1">
      <alignment horizontal="center" vertical="center"/>
    </xf>
    <xf numFmtId="176" fontId="27" fillId="0" borderId="5" xfId="0" applyFont="1" applyBorder="1" applyAlignment="1" applyProtection="1">
      <alignment horizontal="center" vertical="center"/>
    </xf>
    <xf numFmtId="1" fontId="27" fillId="0" borderId="57" xfId="0" applyNumberFormat="1" applyFont="1" applyBorder="1" applyAlignment="1" applyProtection="1">
      <alignment horizontal="center"/>
    </xf>
    <xf numFmtId="176" fontId="27" fillId="0" borderId="441" xfId="0" applyFont="1" applyBorder="1" applyAlignment="1">
      <alignment horizontal="center"/>
    </xf>
    <xf numFmtId="0" fontId="58" fillId="0" borderId="104" xfId="17" applyFont="1" applyFill="1" applyBorder="1" applyAlignment="1">
      <alignment horizontal="right" vertical="center" shrinkToFit="1"/>
    </xf>
    <xf numFmtId="0" fontId="58" fillId="0" borderId="59" xfId="17" applyFont="1" applyFill="1" applyBorder="1" applyAlignment="1">
      <alignment horizontal="right" vertical="center" shrinkToFit="1"/>
    </xf>
    <xf numFmtId="185" fontId="8" fillId="0" borderId="395" xfId="0" applyNumberFormat="1" applyFont="1" applyFill="1" applyBorder="1" applyAlignment="1" applyProtection="1">
      <alignment horizontal="right" vertical="center"/>
    </xf>
    <xf numFmtId="185" fontId="8" fillId="0" borderId="439" xfId="0" applyNumberFormat="1" applyFont="1" applyFill="1" applyBorder="1" applyAlignment="1" applyProtection="1">
      <alignment horizontal="right" vertical="center"/>
    </xf>
    <xf numFmtId="1" fontId="8" fillId="0" borderId="443" xfId="0" applyNumberFormat="1" applyFont="1" applyBorder="1" applyAlignment="1" applyProtection="1">
      <alignment horizontal="center" vertical="center"/>
    </xf>
    <xf numFmtId="1" fontId="8" fillId="0" borderId="359" xfId="0" applyNumberFormat="1" applyFont="1" applyBorder="1" applyAlignment="1" applyProtection="1">
      <alignment vertical="center" textRotation="255"/>
    </xf>
    <xf numFmtId="209" fontId="58" fillId="0" borderId="210" xfId="17" applyNumberFormat="1" applyFont="1" applyFill="1" applyBorder="1" applyAlignment="1">
      <alignment horizontal="center" vertical="center" shrinkToFit="1"/>
    </xf>
    <xf numFmtId="209" fontId="58" fillId="0" borderId="180" xfId="17" applyNumberFormat="1" applyFont="1" applyFill="1" applyBorder="1" applyAlignment="1">
      <alignment horizontal="center" vertical="center" shrinkToFit="1"/>
    </xf>
    <xf numFmtId="209" fontId="58" fillId="0" borderId="441" xfId="17" applyNumberFormat="1" applyFont="1" applyFill="1" applyBorder="1" applyAlignment="1">
      <alignment horizontal="center" vertical="center" shrinkToFit="1"/>
    </xf>
    <xf numFmtId="0" fontId="32" fillId="0" borderId="0" xfId="14" applyFont="1" applyFill="1" applyBorder="1" applyAlignment="1">
      <alignment horizontal="center"/>
    </xf>
    <xf numFmtId="38" fontId="0" fillId="0" borderId="0" xfId="10" applyFont="1" applyFill="1" applyBorder="1" applyAlignment="1">
      <alignment horizontal="center"/>
    </xf>
    <xf numFmtId="0" fontId="30" fillId="0" borderId="83" xfId="14" applyFont="1" applyFill="1" applyBorder="1" applyAlignment="1">
      <alignment horizontal="center"/>
    </xf>
    <xf numFmtId="0" fontId="30" fillId="0" borderId="79" xfId="14" applyFont="1" applyFill="1" applyBorder="1" applyAlignment="1">
      <alignment horizontal="center"/>
    </xf>
    <xf numFmtId="0" fontId="30" fillId="0" borderId="363" xfId="14" applyFont="1" applyFill="1" applyBorder="1" applyAlignment="1">
      <alignment horizontal="center"/>
    </xf>
    <xf numFmtId="0" fontId="30" fillId="0" borderId="240" xfId="14" applyFont="1" applyFill="1" applyBorder="1" applyAlignment="1">
      <alignment horizontal="left" vertical="center"/>
    </xf>
    <xf numFmtId="0" fontId="30" fillId="0" borderId="250" xfId="14" applyFont="1" applyFill="1" applyBorder="1" applyAlignment="1">
      <alignment horizontal="left" vertical="center"/>
    </xf>
    <xf numFmtId="0" fontId="30" fillId="0" borderId="240" xfId="14" applyFont="1" applyFill="1" applyBorder="1" applyAlignment="1">
      <alignment horizontal="center" vertical="center"/>
    </xf>
    <xf numFmtId="0" fontId="30" fillId="0" borderId="180" xfId="14" applyFont="1" applyFill="1" applyBorder="1" applyAlignment="1">
      <alignment horizontal="center" vertical="center"/>
    </xf>
    <xf numFmtId="0" fontId="42" fillId="0" borderId="180" xfId="14" applyFont="1" applyFill="1" applyBorder="1" applyAlignment="1">
      <alignment horizontal="center" vertical="center"/>
    </xf>
    <xf numFmtId="0" fontId="30" fillId="0" borderId="366" xfId="14" applyFont="1" applyFill="1" applyBorder="1" applyAlignment="1">
      <alignment horizontal="left" vertical="center"/>
    </xf>
    <xf numFmtId="0" fontId="30" fillId="0" borderId="141" xfId="14" applyFont="1" applyFill="1" applyBorder="1" applyAlignment="1">
      <alignment horizontal="left" vertical="center"/>
    </xf>
    <xf numFmtId="0" fontId="30" fillId="0" borderId="1" xfId="14" applyFont="1" applyFill="1" applyBorder="1" applyAlignment="1">
      <alignment horizontal="left" vertical="center"/>
    </xf>
    <xf numFmtId="0" fontId="30" fillId="0" borderId="444" xfId="14" applyFont="1" applyFill="1" applyBorder="1" applyAlignment="1">
      <alignment horizontal="left" vertical="center"/>
    </xf>
    <xf numFmtId="194" fontId="30" fillId="0" borderId="83" xfId="14" applyNumberFormat="1" applyFont="1" applyFill="1" applyBorder="1" applyAlignment="1">
      <alignment horizontal="center"/>
    </xf>
    <xf numFmtId="194" fontId="32" fillId="0" borderId="79" xfId="0" applyNumberFormat="1" applyFont="1" applyFill="1" applyBorder="1" applyAlignment="1" applyProtection="1">
      <alignment horizontal="center"/>
      <protection locked="0"/>
    </xf>
    <xf numFmtId="194" fontId="32" fillId="0" borderId="363" xfId="0" applyNumberFormat="1" applyFont="1" applyFill="1" applyBorder="1" applyAlignment="1" applyProtection="1">
      <alignment horizontal="center"/>
      <protection locked="0"/>
    </xf>
    <xf numFmtId="195" fontId="30" fillId="0" borderId="83" xfId="14" applyNumberFormat="1" applyFont="1" applyFill="1" applyBorder="1" applyAlignment="1">
      <alignment horizontal="right"/>
    </xf>
    <xf numFmtId="195" fontId="30" fillId="0" borderId="363" xfId="14" applyNumberFormat="1" applyFont="1" applyFill="1" applyBorder="1" applyAlignment="1">
      <alignment horizontal="right"/>
    </xf>
    <xf numFmtId="3" fontId="41" fillId="0" borderId="180" xfId="14" applyNumberFormat="1" applyFont="1" applyFill="1" applyBorder="1" applyAlignment="1">
      <alignment horizontal="center" vertical="center"/>
    </xf>
    <xf numFmtId="0" fontId="30" fillId="0" borderId="366" xfId="14" applyFont="1" applyFill="1" applyBorder="1" applyAlignment="1">
      <alignment horizontal="right" vertical="center"/>
    </xf>
    <xf numFmtId="0" fontId="30" fillId="0" borderId="240" xfId="14" applyFont="1" applyFill="1" applyBorder="1" applyAlignment="1">
      <alignment horizontal="right" vertical="center"/>
    </xf>
    <xf numFmtId="0" fontId="41" fillId="0" borderId="180" xfId="14" applyFont="1" applyFill="1" applyBorder="1" applyAlignment="1">
      <alignment horizontal="center" vertical="center"/>
    </xf>
    <xf numFmtId="0" fontId="30" fillId="0" borderId="240" xfId="14" quotePrefix="1" applyFont="1" applyFill="1" applyBorder="1" applyAlignment="1">
      <alignment horizontal="left" vertical="center"/>
    </xf>
    <xf numFmtId="0" fontId="42" fillId="0" borderId="180" xfId="14" applyFont="1" applyBorder="1" applyAlignment="1">
      <alignment horizontal="center" vertical="center"/>
    </xf>
    <xf numFmtId="3" fontId="30" fillId="0" borderId="366" xfId="14" applyNumberFormat="1" applyFont="1" applyFill="1" applyBorder="1" applyAlignment="1">
      <alignment horizontal="left" vertical="center" wrapText="1"/>
    </xf>
    <xf numFmtId="3" fontId="30" fillId="0" borderId="240" xfId="14" quotePrefix="1" applyNumberFormat="1" applyFont="1" applyFill="1" applyBorder="1" applyAlignment="1">
      <alignment horizontal="left" vertical="center" wrapText="1"/>
    </xf>
    <xf numFmtId="3" fontId="30" fillId="0" borderId="250" xfId="14" quotePrefix="1" applyNumberFormat="1" applyFont="1" applyFill="1" applyBorder="1" applyAlignment="1">
      <alignment horizontal="left" vertical="center" wrapText="1"/>
    </xf>
    <xf numFmtId="3" fontId="30" fillId="0" borderId="240" xfId="14" applyNumberFormat="1" applyFont="1" applyFill="1" applyBorder="1" applyAlignment="1">
      <alignment horizontal="center" vertical="center" wrapText="1"/>
    </xf>
    <xf numFmtId="0" fontId="30" fillId="0" borderId="83" xfId="14" applyNumberFormat="1" applyFont="1" applyFill="1" applyBorder="1" applyAlignment="1">
      <alignment horizontal="center"/>
    </xf>
    <xf numFmtId="0" fontId="30" fillId="0" borderId="79" xfId="14" applyNumberFormat="1" applyFont="1" applyFill="1" applyBorder="1" applyAlignment="1">
      <alignment horizontal="center"/>
    </xf>
    <xf numFmtId="0" fontId="30" fillId="0" borderId="363" xfId="14" applyNumberFormat="1" applyFont="1" applyFill="1" applyBorder="1" applyAlignment="1">
      <alignment horizontal="center"/>
    </xf>
    <xf numFmtId="0" fontId="42" fillId="0" borderId="0" xfId="14" applyFont="1" applyFill="1" applyAlignment="1">
      <alignment horizontal="center" vertical="center"/>
    </xf>
    <xf numFmtId="0" fontId="3" fillId="0" borderId="0" xfId="14" applyFont="1" applyFill="1" applyAlignment="1">
      <alignment horizontal="center" vertical="center"/>
    </xf>
    <xf numFmtId="0" fontId="30" fillId="0" borderId="0" xfId="14" applyFont="1" applyFill="1" applyAlignment="1">
      <alignment horizontal="center" vertical="center"/>
    </xf>
    <xf numFmtId="0" fontId="32" fillId="0" borderId="79" xfId="0" applyNumberFormat="1" applyFont="1" applyFill="1" applyBorder="1" applyAlignment="1" applyProtection="1">
      <alignment horizontal="center"/>
      <protection locked="0"/>
    </xf>
    <xf numFmtId="0" fontId="32" fillId="0" borderId="363" xfId="0" applyNumberFormat="1" applyFont="1" applyFill="1" applyBorder="1" applyAlignment="1" applyProtection="1">
      <alignment horizontal="center"/>
      <protection locked="0"/>
    </xf>
    <xf numFmtId="0" fontId="32" fillId="0" borderId="1" xfId="0" applyNumberFormat="1" applyFont="1" applyFill="1" applyBorder="1" applyAlignment="1" applyProtection="1">
      <alignment horizontal="left" vertical="center"/>
      <protection locked="0"/>
    </xf>
    <xf numFmtId="0" fontId="32" fillId="0" borderId="444" xfId="0" applyNumberFormat="1" applyFont="1" applyFill="1" applyBorder="1" applyAlignment="1" applyProtection="1">
      <alignment horizontal="left" vertical="center"/>
      <protection locked="0"/>
    </xf>
    <xf numFmtId="0" fontId="30" fillId="0" borderId="366" xfId="14" applyFont="1" applyFill="1" applyBorder="1" applyAlignment="1">
      <alignment horizontal="right" vertical="center" wrapText="1"/>
    </xf>
    <xf numFmtId="0" fontId="30" fillId="0" borderId="240" xfId="14" applyFont="1" applyFill="1" applyBorder="1" applyAlignment="1">
      <alignment horizontal="right" vertical="center" wrapText="1"/>
    </xf>
    <xf numFmtId="206" fontId="30" fillId="0" borderId="83" xfId="14" applyNumberFormat="1" applyFont="1" applyFill="1" applyBorder="1" applyAlignment="1">
      <alignment horizontal="center"/>
    </xf>
    <xf numFmtId="206" fontId="30" fillId="0" borderId="79" xfId="14" applyNumberFormat="1" applyFont="1" applyFill="1" applyBorder="1" applyAlignment="1">
      <alignment horizontal="center"/>
    </xf>
    <xf numFmtId="206" fontId="30" fillId="0" borderId="363" xfId="14" applyNumberFormat="1" applyFont="1" applyFill="1" applyBorder="1" applyAlignment="1">
      <alignment horizontal="center"/>
    </xf>
    <xf numFmtId="223" fontId="30" fillId="0" borderId="83" xfId="14" applyNumberFormat="1" applyFont="1" applyFill="1" applyBorder="1" applyAlignment="1">
      <alignment horizontal="center"/>
    </xf>
    <xf numFmtId="223" fontId="32" fillId="0" borderId="79" xfId="0" applyNumberFormat="1" applyFont="1" applyFill="1" applyBorder="1" applyAlignment="1" applyProtection="1">
      <alignment horizontal="center"/>
      <protection locked="0"/>
    </xf>
    <xf numFmtId="223" fontId="32" fillId="0" borderId="363" xfId="0" applyNumberFormat="1" applyFont="1" applyFill="1" applyBorder="1" applyAlignment="1" applyProtection="1">
      <alignment horizontal="center"/>
      <protection locked="0"/>
    </xf>
    <xf numFmtId="0" fontId="30" fillId="0" borderId="240" xfId="14" quotePrefix="1" applyFont="1" applyFill="1" applyBorder="1" applyAlignment="1">
      <alignment horizontal="left" vertical="center" wrapText="1"/>
    </xf>
    <xf numFmtId="0" fontId="30" fillId="0" borderId="250" xfId="14" applyFont="1" applyFill="1" applyBorder="1" applyAlignment="1">
      <alignment horizontal="left" vertical="center" wrapText="1"/>
    </xf>
    <xf numFmtId="0" fontId="30" fillId="0" borderId="240" xfId="14" applyFont="1" applyFill="1" applyBorder="1" applyAlignment="1">
      <alignment horizontal="center" vertical="center" wrapText="1"/>
    </xf>
    <xf numFmtId="0" fontId="30" fillId="0" borderId="240" xfId="14" applyFont="1" applyFill="1" applyBorder="1" applyAlignment="1">
      <alignment horizontal="left" vertical="center" wrapText="1"/>
    </xf>
    <xf numFmtId="0" fontId="41" fillId="0" borderId="0" xfId="14" applyFont="1" applyFill="1" applyAlignment="1">
      <alignment horizontal="center"/>
    </xf>
    <xf numFmtId="0" fontId="24" fillId="0" borderId="0" xfId="0" applyNumberFormat="1" applyFont="1" applyFill="1" applyAlignment="1" applyProtection="1">
      <alignment horizontal="center"/>
      <protection locked="0"/>
    </xf>
    <xf numFmtId="0" fontId="3" fillId="0" borderId="180" xfId="14" applyFont="1" applyFill="1" applyBorder="1" applyAlignment="1">
      <alignment horizontal="center" vertical="center"/>
    </xf>
    <xf numFmtId="0" fontId="32" fillId="0" borderId="83" xfId="14" applyNumberFormat="1" applyFont="1" applyFill="1" applyBorder="1" applyAlignment="1" applyProtection="1">
      <protection locked="0"/>
    </xf>
    <xf numFmtId="0" fontId="32" fillId="0" borderId="79" xfId="14" applyNumberFormat="1" applyFont="1" applyFill="1" applyBorder="1" applyAlignment="1" applyProtection="1">
      <protection locked="0"/>
    </xf>
    <xf numFmtId="196" fontId="30" fillId="0" borderId="83" xfId="14" applyNumberFormat="1" applyFont="1" applyFill="1" applyBorder="1" applyAlignment="1">
      <alignment horizontal="center"/>
    </xf>
    <xf numFmtId="196" fontId="30" fillId="0" borderId="79" xfId="14" applyNumberFormat="1" applyFont="1" applyFill="1" applyBorder="1" applyAlignment="1">
      <alignment horizontal="center"/>
    </xf>
    <xf numFmtId="196" fontId="30" fillId="0" borderId="363" xfId="14" applyNumberFormat="1" applyFont="1" applyFill="1" applyBorder="1" applyAlignment="1">
      <alignment horizontal="center"/>
    </xf>
    <xf numFmtId="0" fontId="30" fillId="0" borderId="366" xfId="14" applyFont="1" applyFill="1" applyBorder="1" applyAlignment="1">
      <alignment horizontal="left" vertical="center" wrapText="1"/>
    </xf>
    <xf numFmtId="3" fontId="30" fillId="0" borderId="240" xfId="14" applyNumberFormat="1" applyFont="1" applyFill="1" applyBorder="1" applyAlignment="1">
      <alignment horizontal="left" vertical="center" wrapText="1"/>
    </xf>
    <xf numFmtId="3" fontId="30" fillId="0" borderId="250" xfId="14" applyNumberFormat="1" applyFont="1" applyFill="1" applyBorder="1" applyAlignment="1">
      <alignment horizontal="left" vertical="center" wrapText="1"/>
    </xf>
    <xf numFmtId="4" fontId="30" fillId="0" borderId="83" xfId="14" applyNumberFormat="1" applyFont="1" applyFill="1" applyBorder="1" applyAlignment="1"/>
    <xf numFmtId="4" fontId="30" fillId="0" borderId="79" xfId="14" applyNumberFormat="1" applyFont="1" applyFill="1" applyBorder="1" applyAlignment="1"/>
    <xf numFmtId="0" fontId="0" fillId="0" borderId="240" xfId="0" applyNumberFormat="1" applyFont="1" applyFill="1" applyBorder="1" applyAlignment="1" applyProtection="1">
      <alignment horizontal="left" vertical="center"/>
      <protection locked="0"/>
    </xf>
    <xf numFmtId="0" fontId="0" fillId="0" borderId="250" xfId="0" applyNumberFormat="1" applyFont="1" applyFill="1" applyBorder="1" applyAlignment="1" applyProtection="1">
      <alignment horizontal="left" vertical="center"/>
      <protection locked="0"/>
    </xf>
    <xf numFmtId="0" fontId="30" fillId="0" borderId="366" xfId="14" applyFont="1" applyBorder="1" applyAlignment="1">
      <alignment horizontal="left" vertical="center" wrapText="1"/>
    </xf>
    <xf numFmtId="0" fontId="30" fillId="0" borderId="240" xfId="14" applyFont="1" applyBorder="1" applyAlignment="1">
      <alignment horizontal="left" vertical="center" wrapText="1"/>
    </xf>
    <xf numFmtId="0" fontId="30" fillId="0" borderId="250" xfId="14" applyFont="1" applyBorder="1" applyAlignment="1">
      <alignment horizontal="left" vertical="center" wrapText="1"/>
    </xf>
    <xf numFmtId="38" fontId="30" fillId="0" borderId="83" xfId="10" applyFont="1" applyFill="1" applyBorder="1" applyAlignment="1"/>
    <xf numFmtId="38" fontId="30" fillId="0" borderId="79" xfId="10" applyFont="1" applyFill="1" applyBorder="1" applyAlignment="1"/>
    <xf numFmtId="0" fontId="30" fillId="0" borderId="83" xfId="14" applyFont="1" applyFill="1" applyBorder="1" applyAlignment="1"/>
    <xf numFmtId="0" fontId="30" fillId="0" borderId="79" xfId="14" applyFont="1" applyFill="1" applyBorder="1" applyAlignment="1"/>
    <xf numFmtId="9" fontId="30" fillId="0" borderId="0" xfId="14" applyNumberFormat="1" applyFont="1" applyFill="1" applyAlignment="1">
      <alignment horizontal="right"/>
    </xf>
    <xf numFmtId="9" fontId="1" fillId="0" borderId="0" xfId="14" applyNumberFormat="1" applyFont="1" applyFill="1" applyAlignment="1" applyProtection="1">
      <alignment horizontal="right"/>
    </xf>
    <xf numFmtId="0" fontId="30" fillId="0" borderId="0" xfId="14" applyNumberFormat="1" applyFont="1" applyFill="1" applyAlignment="1">
      <alignment horizontal="right"/>
    </xf>
    <xf numFmtId="0" fontId="1" fillId="0" borderId="0" xfId="14" applyNumberFormat="1" applyFont="1" applyFill="1" applyAlignment="1" applyProtection="1">
      <alignment horizontal="right"/>
    </xf>
    <xf numFmtId="38" fontId="30" fillId="0" borderId="83" xfId="10" applyFont="1" applyFill="1" applyBorder="1" applyAlignment="1">
      <alignment horizontal="center"/>
    </xf>
    <xf numFmtId="38" fontId="32" fillId="0" borderId="79" xfId="10" applyFont="1" applyFill="1" applyBorder="1" applyAlignment="1" applyProtection="1">
      <alignment horizontal="center"/>
      <protection locked="0"/>
    </xf>
    <xf numFmtId="38" fontId="32" fillId="0" borderId="363" xfId="10" applyFont="1" applyFill="1" applyBorder="1" applyAlignment="1" applyProtection="1">
      <alignment horizontal="center"/>
      <protection locked="0"/>
    </xf>
    <xf numFmtId="0" fontId="41" fillId="0" borderId="0" xfId="14" applyFont="1" applyFill="1" applyBorder="1" applyAlignment="1">
      <alignment horizontal="center"/>
    </xf>
    <xf numFmtId="0" fontId="24" fillId="0" borderId="0" xfId="0" applyNumberFormat="1" applyFont="1" applyFill="1" applyBorder="1" applyAlignment="1" applyProtection="1">
      <alignment horizontal="center"/>
      <protection locked="0"/>
    </xf>
    <xf numFmtId="0" fontId="30" fillId="0" borderId="366" xfId="14" applyFont="1" applyFill="1" applyBorder="1" applyAlignment="1">
      <alignment horizontal="center" vertical="center" wrapText="1"/>
    </xf>
    <xf numFmtId="0" fontId="8" fillId="0" borderId="0" xfId="14" applyFont="1" applyFill="1" applyAlignment="1">
      <alignment horizontal="left" wrapText="1"/>
    </xf>
    <xf numFmtId="0" fontId="30" fillId="0" borderId="113" xfId="18" applyFont="1" applyBorder="1" applyAlignment="1">
      <alignment horizontal="center" vertical="center"/>
    </xf>
    <xf numFmtId="0" fontId="32" fillId="0" borderId="113" xfId="0" applyNumberFormat="1" applyFont="1" applyBorder="1" applyAlignment="1" applyProtection="1">
      <alignment horizontal="center" vertical="center"/>
      <protection locked="0"/>
    </xf>
    <xf numFmtId="0" fontId="30" fillId="0" borderId="445" xfId="18" applyFont="1" applyBorder="1" applyAlignment="1">
      <alignment horizontal="distributed" vertical="center"/>
    </xf>
    <xf numFmtId="0" fontId="30" fillId="0" borderId="427" xfId="18" applyFont="1" applyBorder="1" applyAlignment="1">
      <alignment horizontal="distributed" vertical="center"/>
    </xf>
    <xf numFmtId="0" fontId="30" fillId="0" borderId="445" xfId="18" applyFont="1" applyBorder="1" applyAlignment="1">
      <alignment horizontal="left" vertical="center" wrapText="1"/>
    </xf>
    <xf numFmtId="0" fontId="32" fillId="0" borderId="427" xfId="0" applyNumberFormat="1" applyFont="1" applyBorder="1" applyAlignment="1" applyProtection="1">
      <alignment horizontal="left" vertical="center" wrapText="1"/>
      <protection locked="0"/>
    </xf>
    <xf numFmtId="0" fontId="32" fillId="0" borderId="214" xfId="0" applyNumberFormat="1" applyFont="1" applyBorder="1" applyAlignment="1" applyProtection="1">
      <alignment horizontal="left" vertical="center" wrapText="1"/>
      <protection locked="0"/>
    </xf>
    <xf numFmtId="0" fontId="30" fillId="0" borderId="395" xfId="18" applyFont="1" applyBorder="1" applyAlignment="1">
      <alignment horizontal="distributed" vertical="center"/>
    </xf>
    <xf numFmtId="0" fontId="32" fillId="0" borderId="439" xfId="0" applyNumberFormat="1" applyFont="1" applyBorder="1" applyAlignment="1" applyProtection="1">
      <alignment horizontal="distributed" vertical="center"/>
      <protection locked="0"/>
    </xf>
    <xf numFmtId="0" fontId="30" fillId="0" borderId="83" xfId="18" applyFont="1" applyBorder="1" applyAlignment="1">
      <alignment horizontal="distributed" vertical="center"/>
    </xf>
    <xf numFmtId="0" fontId="30" fillId="0" borderId="79" xfId="18" applyFont="1" applyBorder="1" applyAlignment="1">
      <alignment horizontal="distributed" vertical="center"/>
    </xf>
    <xf numFmtId="0" fontId="30" fillId="0" borderId="431" xfId="18" applyFont="1" applyFill="1" applyBorder="1" applyAlignment="1">
      <alignment horizontal="center" vertical="center" textRotation="255"/>
    </xf>
    <xf numFmtId="0" fontId="30" fillId="0" borderId="113" xfId="18" applyFont="1" applyFill="1" applyBorder="1" applyAlignment="1">
      <alignment horizontal="center" vertical="center" textRotation="255"/>
    </xf>
    <xf numFmtId="0" fontId="30" fillId="0" borderId="446" xfId="18" applyFont="1" applyFill="1" applyBorder="1" applyAlignment="1">
      <alignment horizontal="center" vertical="center" textRotation="255"/>
    </xf>
    <xf numFmtId="0" fontId="32" fillId="0" borderId="211" xfId="0" applyNumberFormat="1" applyFont="1" applyFill="1" applyBorder="1" applyAlignment="1" applyProtection="1">
      <alignment horizontal="center" vertical="center"/>
      <protection locked="0"/>
    </xf>
    <xf numFmtId="0" fontId="32" fillId="0" borderId="447" xfId="0" applyNumberFormat="1" applyFont="1" applyFill="1" applyBorder="1" applyAlignment="1" applyProtection="1">
      <alignment horizontal="center" vertical="center"/>
      <protection locked="0"/>
    </xf>
    <xf numFmtId="0" fontId="30" fillId="0" borderId="445" xfId="18" applyFont="1" applyFill="1" applyBorder="1" applyAlignment="1">
      <alignment vertical="center"/>
    </xf>
    <xf numFmtId="0" fontId="32" fillId="0" borderId="427" xfId="0" applyNumberFormat="1" applyFont="1" applyFill="1" applyBorder="1" applyAlignment="1" applyProtection="1">
      <protection locked="0"/>
    </xf>
    <xf numFmtId="0" fontId="32" fillId="0" borderId="214" xfId="0" applyNumberFormat="1" applyFont="1" applyFill="1" applyBorder="1" applyAlignment="1" applyProtection="1">
      <protection locked="0"/>
    </xf>
    <xf numFmtId="0" fontId="30" fillId="0" borderId="53" xfId="18" applyFont="1" applyFill="1" applyBorder="1" applyAlignment="1">
      <alignment horizontal="distributed" vertical="center" wrapText="1"/>
    </xf>
    <xf numFmtId="0" fontId="30" fillId="0" borderId="54" xfId="18" applyFont="1" applyFill="1" applyBorder="1" applyAlignment="1">
      <alignment horizontal="distributed" vertical="center" wrapText="1"/>
    </xf>
    <xf numFmtId="3" fontId="30" fillId="0" borderId="241" xfId="18" applyNumberFormat="1" applyFont="1" applyFill="1" applyBorder="1" applyAlignment="1">
      <alignment horizontal="center" vertical="center" wrapText="1"/>
    </xf>
    <xf numFmtId="0" fontId="32" fillId="0" borderId="310" xfId="0" applyNumberFormat="1" applyFont="1" applyFill="1" applyBorder="1" applyAlignment="1" applyProtection="1">
      <alignment horizontal="center" vertical="center" wrapText="1"/>
      <protection locked="0"/>
    </xf>
    <xf numFmtId="0" fontId="30" fillId="0" borderId="395" xfId="18" applyFont="1" applyFill="1" applyBorder="1" applyAlignment="1">
      <alignment horizontal="distributed" vertical="center"/>
    </xf>
    <xf numFmtId="0" fontId="30" fillId="0" borderId="439" xfId="18" applyFont="1" applyFill="1" applyBorder="1" applyAlignment="1">
      <alignment horizontal="distributed" vertical="center"/>
    </xf>
    <xf numFmtId="0" fontId="30" fillId="0" borderId="76" xfId="18" applyFont="1" applyFill="1" applyBorder="1" applyAlignment="1">
      <alignment horizontal="distributed" vertical="center"/>
    </xf>
    <xf numFmtId="0" fontId="30" fillId="0" borderId="445" xfId="18" applyFont="1" applyFill="1" applyBorder="1" applyAlignment="1">
      <alignment horizontal="distributed" vertical="center"/>
    </xf>
    <xf numFmtId="0" fontId="30" fillId="0" borderId="427" xfId="18" applyFont="1" applyFill="1" applyBorder="1" applyAlignment="1">
      <alignment horizontal="distributed" vertical="center"/>
    </xf>
    <xf numFmtId="0" fontId="30" fillId="0" borderId="214" xfId="18" applyFont="1" applyFill="1" applyBorder="1" applyAlignment="1">
      <alignment horizontal="distributed" vertical="center"/>
    </xf>
    <xf numFmtId="0" fontId="30" fillId="0" borderId="4" xfId="18" applyFont="1" applyFill="1" applyBorder="1" applyAlignment="1">
      <alignment horizontal="distributed" vertical="center"/>
    </xf>
    <xf numFmtId="0" fontId="30" fillId="0" borderId="6" xfId="18" applyFont="1" applyFill="1" applyBorder="1" applyAlignment="1">
      <alignment horizontal="distributed" vertical="center"/>
    </xf>
    <xf numFmtId="0" fontId="30" fillId="0" borderId="458" xfId="18" applyFont="1" applyFill="1" applyBorder="1" applyAlignment="1">
      <alignment horizontal="distributed" vertical="center"/>
    </xf>
    <xf numFmtId="0" fontId="32" fillId="0" borderId="439" xfId="0" applyNumberFormat="1" applyFont="1" applyFill="1" applyBorder="1" applyAlignment="1" applyProtection="1">
      <alignment horizontal="distributed" vertical="center"/>
      <protection locked="0"/>
    </xf>
    <xf numFmtId="0" fontId="41" fillId="0" borderId="0" xfId="18" applyFont="1" applyAlignment="1">
      <alignment horizontal="center"/>
    </xf>
    <xf numFmtId="0" fontId="24" fillId="0" borderId="0" xfId="0" applyNumberFormat="1" applyFont="1" applyAlignment="1" applyProtection="1">
      <alignment horizontal="center"/>
      <protection locked="0"/>
    </xf>
    <xf numFmtId="0" fontId="30" fillId="0" borderId="82" xfId="18" applyFont="1" applyBorder="1" applyAlignment="1">
      <alignment horizontal="right" wrapText="1"/>
    </xf>
    <xf numFmtId="0" fontId="32" fillId="0" borderId="79" xfId="0" applyNumberFormat="1" applyFont="1" applyBorder="1" applyAlignment="1" applyProtection="1">
      <alignment horizontal="right"/>
      <protection locked="0"/>
    </xf>
    <xf numFmtId="3" fontId="30" fillId="0" borderId="181" xfId="18" applyNumberFormat="1" applyFont="1" applyBorder="1" applyAlignment="1">
      <alignment horizontal="center"/>
    </xf>
    <xf numFmtId="0" fontId="32" fillId="0" borderId="441" xfId="0" applyNumberFormat="1" applyFont="1" applyBorder="1" applyAlignment="1" applyProtection="1">
      <alignment horizontal="center"/>
      <protection locked="0"/>
    </xf>
    <xf numFmtId="0" fontId="30" fillId="0" borderId="366" xfId="18" applyFont="1" applyBorder="1" applyAlignment="1">
      <alignment horizontal="left" vertical="center" wrapText="1"/>
    </xf>
    <xf numFmtId="0" fontId="30" fillId="0" borderId="240" xfId="18" applyFont="1" applyBorder="1" applyAlignment="1">
      <alignment horizontal="left" vertical="center" wrapText="1"/>
    </xf>
    <xf numFmtId="0" fontId="30" fillId="0" borderId="250" xfId="18" applyFont="1" applyBorder="1" applyAlignment="1">
      <alignment horizontal="left" vertical="center" wrapText="1"/>
    </xf>
    <xf numFmtId="0" fontId="30" fillId="0" borderId="241" xfId="18" applyFont="1" applyBorder="1" applyAlignment="1">
      <alignment horizontal="center" vertical="center"/>
    </xf>
    <xf numFmtId="0" fontId="32" fillId="0" borderId="310" xfId="0" applyNumberFormat="1" applyFont="1" applyBorder="1" applyAlignment="1" applyProtection="1">
      <alignment horizontal="center" vertical="center"/>
      <protection locked="0"/>
    </xf>
    <xf numFmtId="0" fontId="30" fillId="0" borderId="85" xfId="18" applyFont="1" applyBorder="1" applyAlignment="1">
      <alignment horizontal="center" vertical="center"/>
    </xf>
    <xf numFmtId="0" fontId="32" fillId="0" borderId="448" xfId="0" applyNumberFormat="1" applyFont="1" applyBorder="1" applyAlignment="1" applyProtection="1">
      <alignment horizontal="center" vertical="center"/>
      <protection locked="0"/>
    </xf>
    <xf numFmtId="3" fontId="30" fillId="0" borderId="449" xfId="18" applyNumberFormat="1" applyFont="1" applyFill="1" applyBorder="1" applyAlignment="1">
      <alignment horizontal="right"/>
    </xf>
    <xf numFmtId="3" fontId="30" fillId="0" borderId="450" xfId="18" applyNumberFormat="1" applyFont="1" applyFill="1" applyBorder="1" applyAlignment="1">
      <alignment horizontal="right"/>
    </xf>
    <xf numFmtId="0" fontId="30" fillId="0" borderId="451" xfId="18" applyFont="1" applyFill="1" applyBorder="1" applyAlignment="1">
      <alignment horizontal="left" vertical="center"/>
    </xf>
    <xf numFmtId="0" fontId="32" fillId="0" borderId="452" xfId="0" applyNumberFormat="1" applyFont="1" applyFill="1" applyBorder="1" applyAlignment="1" applyProtection="1">
      <alignment horizontal="left" vertical="center"/>
      <protection locked="0"/>
    </xf>
    <xf numFmtId="0" fontId="32" fillId="0" borderId="453" xfId="0" applyNumberFormat="1" applyFont="1" applyFill="1" applyBorder="1" applyAlignment="1" applyProtection="1">
      <alignment horizontal="left" vertical="center"/>
      <protection locked="0"/>
    </xf>
    <xf numFmtId="0" fontId="30" fillId="0" borderId="454" xfId="18" applyFont="1" applyFill="1" applyBorder="1" applyAlignment="1">
      <alignment vertical="center"/>
    </xf>
    <xf numFmtId="0" fontId="32" fillId="0" borderId="455" xfId="0" applyNumberFormat="1" applyFont="1" applyFill="1" applyBorder="1" applyAlignment="1" applyProtection="1">
      <alignment vertical="center"/>
      <protection locked="0"/>
    </xf>
    <xf numFmtId="0" fontId="32" fillId="0" borderId="456" xfId="0" applyNumberFormat="1" applyFont="1" applyFill="1" applyBorder="1" applyAlignment="1" applyProtection="1">
      <alignment vertical="center"/>
      <protection locked="0"/>
    </xf>
    <xf numFmtId="0" fontId="32" fillId="0" borderId="427" xfId="0" applyNumberFormat="1" applyFont="1" applyFill="1" applyBorder="1" applyAlignment="1" applyProtection="1">
      <alignment vertical="center"/>
      <protection locked="0"/>
    </xf>
    <xf numFmtId="0" fontId="32" fillId="0" borderId="214" xfId="0" applyNumberFormat="1" applyFont="1" applyFill="1" applyBorder="1" applyAlignment="1" applyProtection="1">
      <alignment vertical="center"/>
      <protection locked="0"/>
    </xf>
    <xf numFmtId="0" fontId="30" fillId="0" borderId="7" xfId="18" applyFont="1" applyFill="1" applyBorder="1" applyAlignment="1">
      <alignment horizontal="center" vertical="center"/>
    </xf>
    <xf numFmtId="0" fontId="32" fillId="0" borderId="310" xfId="0" applyNumberFormat="1" applyFont="1" applyFill="1" applyBorder="1" applyAlignment="1" applyProtection="1">
      <alignment vertical="center"/>
      <protection locked="0"/>
    </xf>
    <xf numFmtId="3" fontId="30" fillId="0" borderId="454" xfId="18" applyNumberFormat="1" applyFont="1" applyFill="1" applyBorder="1" applyAlignment="1">
      <alignment horizontal="right"/>
    </xf>
    <xf numFmtId="3" fontId="30" fillId="0" borderId="457" xfId="18" applyNumberFormat="1" applyFont="1" applyFill="1" applyBorder="1" applyAlignment="1">
      <alignment horizontal="right"/>
    </xf>
    <xf numFmtId="0" fontId="32" fillId="0" borderId="310" xfId="0" applyNumberFormat="1" applyFont="1" applyFill="1" applyBorder="1" applyAlignment="1" applyProtection="1">
      <alignment vertical="center" wrapText="1"/>
      <protection locked="0"/>
    </xf>
    <xf numFmtId="3" fontId="30" fillId="0" borderId="85" xfId="18" applyNumberFormat="1" applyFont="1" applyFill="1" applyBorder="1" applyAlignment="1">
      <alignment horizontal="center" vertical="center" wrapText="1"/>
    </xf>
    <xf numFmtId="3" fontId="30" fillId="0" borderId="448" xfId="18" applyNumberFormat="1" applyFont="1" applyFill="1" applyBorder="1" applyAlignment="1">
      <alignment horizontal="center" vertical="center" wrapText="1"/>
    </xf>
    <xf numFmtId="0" fontId="30" fillId="0" borderId="459" xfId="18" applyFont="1" applyFill="1" applyBorder="1" applyAlignment="1">
      <alignment horizontal="distributed" vertical="center" wrapText="1"/>
    </xf>
    <xf numFmtId="0" fontId="30" fillId="0" borderId="366" xfId="15" applyFont="1" applyBorder="1" applyAlignment="1">
      <alignment horizontal="distributed" vertical="center"/>
    </xf>
    <xf numFmtId="0" fontId="30" fillId="0" borderId="240" xfId="15" applyFont="1" applyBorder="1" applyAlignment="1">
      <alignment horizontal="distributed" vertical="center"/>
    </xf>
    <xf numFmtId="0" fontId="30" fillId="0" borderId="434" xfId="15" applyFont="1" applyBorder="1" applyAlignment="1">
      <alignment horizontal="distributed" vertical="center"/>
    </xf>
    <xf numFmtId="0" fontId="30" fillId="0" borderId="82" xfId="15" applyFont="1" applyBorder="1" applyAlignment="1">
      <alignment horizontal="distributed" vertical="center"/>
    </xf>
    <xf numFmtId="0" fontId="30" fillId="0" borderId="79" xfId="15" applyFont="1" applyBorder="1" applyAlignment="1">
      <alignment horizontal="distributed" vertical="center"/>
    </xf>
    <xf numFmtId="0" fontId="30" fillId="0" borderId="363" xfId="15" applyFont="1" applyBorder="1" applyAlignment="1">
      <alignment horizontal="distributed" vertical="center"/>
    </xf>
    <xf numFmtId="0" fontId="30" fillId="0" borderId="445" xfId="15" applyFont="1" applyBorder="1" applyAlignment="1">
      <alignment horizontal="distributed" vertical="center"/>
    </xf>
    <xf numFmtId="0" fontId="30" fillId="0" borderId="214" xfId="15" applyFont="1" applyBorder="1" applyAlignment="1">
      <alignment horizontal="distributed" vertical="center"/>
    </xf>
    <xf numFmtId="0" fontId="30" fillId="0" borderId="113" xfId="15" applyFont="1" applyBorder="1" applyAlignment="1">
      <alignment horizontal="center" vertical="distributed" textRotation="255"/>
    </xf>
    <xf numFmtId="0" fontId="41" fillId="0" borderId="0" xfId="15" applyFont="1" applyAlignment="1">
      <alignment horizontal="center"/>
    </xf>
    <xf numFmtId="0" fontId="30" fillId="0" borderId="359" xfId="15" applyFont="1" applyBorder="1" applyAlignment="1">
      <alignment horizontal="distributed" vertical="center" wrapText="1"/>
    </xf>
    <xf numFmtId="0" fontId="30" fillId="0" borderId="234" xfId="15" applyFont="1" applyBorder="1" applyAlignment="1">
      <alignment horizontal="distributed" vertical="center"/>
    </xf>
    <xf numFmtId="0" fontId="30" fillId="0" borderId="310" xfId="15" applyFont="1" applyBorder="1" applyAlignment="1">
      <alignment horizontal="distributed" vertical="center"/>
    </xf>
    <xf numFmtId="0" fontId="30" fillId="0" borderId="234" xfId="15" applyFont="1" applyBorder="1" applyAlignment="1">
      <alignment horizontal="distributed" vertical="center" wrapText="1"/>
    </xf>
    <xf numFmtId="0" fontId="30" fillId="0" borderId="429" xfId="15" applyFont="1" applyBorder="1" applyAlignment="1">
      <alignment horizontal="distributed" vertical="center"/>
    </xf>
    <xf numFmtId="0" fontId="30" fillId="0" borderId="250" xfId="15" applyFont="1" applyBorder="1" applyAlignment="1">
      <alignment horizontal="distributed" vertical="center"/>
    </xf>
    <xf numFmtId="0" fontId="25" fillId="0" borderId="73" xfId="16" applyFont="1" applyBorder="1" applyAlignment="1">
      <alignment horizontal="distributed" vertical="center"/>
    </xf>
    <xf numFmtId="0" fontId="25" fillId="0" borderId="75" xfId="16" applyFont="1" applyBorder="1" applyAlignment="1">
      <alignment horizontal="distributed" vertical="center"/>
    </xf>
    <xf numFmtId="0" fontId="25" fillId="0" borderId="41" xfId="16" applyFont="1" applyBorder="1" applyAlignment="1">
      <alignment horizontal="distributed" vertical="center"/>
    </xf>
    <xf numFmtId="0" fontId="25" fillId="0" borderId="460" xfId="16" applyFont="1" applyBorder="1" applyAlignment="1">
      <alignment horizontal="distributed" vertical="center"/>
    </xf>
    <xf numFmtId="0" fontId="0" fillId="0" borderId="181" xfId="16" applyFont="1" applyBorder="1" applyAlignment="1">
      <alignment horizontal="distributed" vertical="center"/>
    </xf>
    <xf numFmtId="0" fontId="25" fillId="0" borderId="441" xfId="16" applyFont="1" applyBorder="1" applyAlignment="1">
      <alignment horizontal="distributed" vertical="center"/>
    </xf>
    <xf numFmtId="0" fontId="25" fillId="0" borderId="72" xfId="16" applyFont="1" applyBorder="1" applyAlignment="1">
      <alignment horizontal="distributed" vertical="center"/>
    </xf>
    <xf numFmtId="0" fontId="25" fillId="0" borderId="44" xfId="16" applyFont="1" applyBorder="1" applyAlignment="1">
      <alignment horizontal="distributed" vertical="center"/>
    </xf>
    <xf numFmtId="0" fontId="25" fillId="0" borderId="57" xfId="16" applyFont="1" applyBorder="1" applyAlignment="1">
      <alignment horizontal="distributed" vertical="center"/>
    </xf>
    <xf numFmtId="0" fontId="25" fillId="0" borderId="366" xfId="16" applyFont="1" applyBorder="1" applyAlignment="1">
      <alignment horizontal="distributed" vertical="center"/>
    </xf>
    <xf numFmtId="0" fontId="25" fillId="0" borderId="434" xfId="0" applyNumberFormat="1" applyFont="1" applyBorder="1" applyAlignment="1" applyProtection="1">
      <alignment horizontal="distributed" vertical="center"/>
      <protection locked="0"/>
    </xf>
    <xf numFmtId="0" fontId="0" fillId="0" borderId="429" xfId="16" applyFont="1" applyBorder="1" applyAlignment="1">
      <alignment horizontal="distributed" vertical="center"/>
    </xf>
    <xf numFmtId="0" fontId="25" fillId="0" borderId="434" xfId="16" applyNumberFormat="1" applyFont="1" applyBorder="1" applyAlignment="1" applyProtection="1">
      <alignment horizontal="distributed" vertical="center"/>
      <protection locked="0"/>
    </xf>
    <xf numFmtId="0" fontId="33" fillId="0" borderId="429" xfId="16" applyFont="1" applyBorder="1" applyAlignment="1">
      <alignment horizontal="distributed" vertical="center"/>
    </xf>
    <xf numFmtId="0" fontId="33" fillId="0" borderId="250" xfId="0" applyNumberFormat="1" applyFont="1" applyBorder="1" applyAlignment="1" applyProtection="1">
      <alignment horizontal="distributed" vertical="center"/>
      <protection locked="0"/>
    </xf>
    <xf numFmtId="38" fontId="25" fillId="0" borderId="82" xfId="10" applyFont="1" applyBorder="1" applyAlignment="1"/>
    <xf numFmtId="38" fontId="25" fillId="0" borderId="363" xfId="10" applyFont="1" applyBorder="1" applyAlignment="1" applyProtection="1">
      <protection locked="0"/>
    </xf>
    <xf numFmtId="3" fontId="25" fillId="0" borderId="83" xfId="16" applyNumberFormat="1" applyFont="1" applyBorder="1" applyAlignment="1"/>
    <xf numFmtId="0" fontId="25" fillId="0" borderId="363" xfId="0" applyNumberFormat="1" applyFont="1" applyBorder="1" applyAlignment="1" applyProtection="1">
      <protection locked="0"/>
    </xf>
    <xf numFmtId="0" fontId="25" fillId="0" borderId="81" xfId="0" applyNumberFormat="1" applyFont="1" applyBorder="1" applyAlignment="1" applyProtection="1">
      <protection locked="0"/>
    </xf>
    <xf numFmtId="0" fontId="24" fillId="0" borderId="0" xfId="16" applyFont="1" applyAlignment="1">
      <alignment horizontal="center"/>
    </xf>
    <xf numFmtId="0" fontId="25" fillId="0" borderId="0" xfId="0" applyNumberFormat="1" applyFont="1" applyAlignment="1" applyProtection="1">
      <alignment horizontal="center"/>
      <protection locked="0"/>
    </xf>
    <xf numFmtId="0" fontId="24" fillId="0" borderId="0" xfId="16" applyFont="1" applyBorder="1" applyAlignment="1">
      <alignment horizontal="center"/>
    </xf>
    <xf numFmtId="0" fontId="25" fillId="0" borderId="140" xfId="16" applyFont="1" applyBorder="1" applyAlignment="1">
      <alignment horizontal="distributed" vertical="center"/>
    </xf>
    <xf numFmtId="0" fontId="25" fillId="0" borderId="116" xfId="0" applyNumberFormat="1" applyFont="1" applyBorder="1" applyAlignment="1" applyProtection="1">
      <alignment horizontal="distributed" vertical="center"/>
      <protection locked="0"/>
    </xf>
    <xf numFmtId="0" fontId="25" fillId="0" borderId="444" xfId="0" applyNumberFormat="1" applyFont="1" applyBorder="1" applyAlignment="1" applyProtection="1">
      <alignment horizontal="distributed" vertical="center"/>
      <protection locked="0"/>
    </xf>
    <xf numFmtId="0" fontId="27" fillId="0" borderId="85" xfId="16" applyFont="1" applyBorder="1" applyAlignment="1">
      <alignment horizontal="distributed" vertical="center"/>
    </xf>
    <xf numFmtId="0" fontId="27" fillId="0" borderId="461" xfId="16" applyFont="1" applyBorder="1" applyAlignment="1">
      <alignment horizontal="distributed" vertical="center"/>
    </xf>
    <xf numFmtId="0" fontId="27" fillId="0" borderId="462" xfId="16" applyFont="1" applyBorder="1" applyAlignment="1">
      <alignment horizontal="distributed" vertical="center"/>
    </xf>
    <xf numFmtId="0" fontId="27" fillId="0" borderId="434" xfId="16" applyFont="1" applyBorder="1" applyAlignment="1">
      <alignment horizontal="distributed" vertical="center"/>
    </xf>
    <xf numFmtId="0" fontId="27" fillId="0" borderId="366" xfId="16" applyFont="1" applyBorder="1" applyAlignment="1">
      <alignment horizontal="distributed" vertical="center"/>
    </xf>
    <xf numFmtId="0" fontId="27" fillId="0" borderId="240" xfId="16" applyFont="1" applyBorder="1" applyAlignment="1">
      <alignment horizontal="distributed" vertical="center"/>
    </xf>
    <xf numFmtId="0" fontId="25" fillId="0" borderId="141" xfId="16" applyFont="1" applyBorder="1" applyAlignment="1">
      <alignment horizontal="distributed" vertical="center"/>
    </xf>
    <xf numFmtId="0" fontId="25" fillId="0" borderId="444" xfId="16" applyFont="1" applyBorder="1" applyAlignment="1">
      <alignment horizontal="distributed" vertical="center"/>
    </xf>
    <xf numFmtId="0" fontId="27" fillId="0" borderId="84" xfId="16" applyFont="1" applyBorder="1" applyAlignment="1">
      <alignment horizontal="distributed" vertical="center"/>
    </xf>
    <xf numFmtId="0" fontId="27" fillId="0" borderId="137" xfId="16" applyFont="1" applyBorder="1" applyAlignment="1">
      <alignment horizontal="distributed" vertical="center"/>
    </xf>
    <xf numFmtId="0" fontId="0" fillId="0" borderId="0" xfId="0" applyNumberFormat="1" applyAlignment="1" applyProtection="1">
      <alignment horizontal="center"/>
      <protection locked="0"/>
    </xf>
    <xf numFmtId="0" fontId="0" fillId="0" borderId="0" xfId="0" applyNumberFormat="1" applyFont="1" applyAlignment="1" applyProtection="1">
      <alignment wrapText="1"/>
      <protection locked="0"/>
    </xf>
    <xf numFmtId="0" fontId="0" fillId="0" borderId="0" xfId="0" applyNumberFormat="1" applyAlignment="1" applyProtection="1">
      <alignment horizontal="left" wrapText="1"/>
      <protection locked="0"/>
    </xf>
    <xf numFmtId="0" fontId="0" fillId="0" borderId="0" xfId="0" applyNumberFormat="1" applyFont="1" applyAlignment="1" applyProtection="1">
      <alignment horizontal="left" wrapText="1"/>
      <protection locked="0"/>
    </xf>
    <xf numFmtId="0" fontId="0" fillId="0" borderId="0" xfId="0" applyNumberFormat="1" applyAlignment="1" applyProtection="1">
      <alignment horizontal="left" vertical="top" wrapText="1"/>
      <protection locked="0"/>
    </xf>
    <xf numFmtId="0" fontId="0" fillId="0" borderId="0" xfId="0" applyNumberFormat="1" applyFont="1" applyAlignment="1" applyProtection="1">
      <alignment horizontal="left" vertical="top" wrapText="1"/>
      <protection locked="0"/>
    </xf>
    <xf numFmtId="0" fontId="30" fillId="0" borderId="0" xfId="18" applyFont="1" applyBorder="1" applyAlignment="1">
      <alignment horizontal="distributed" vertical="center"/>
    </xf>
    <xf numFmtId="0" fontId="24" fillId="0" borderId="0" xfId="17" applyFont="1" applyAlignment="1">
      <alignment horizontal="center"/>
    </xf>
    <xf numFmtId="0" fontId="25" fillId="0" borderId="180" xfId="17" applyFont="1" applyBorder="1" applyAlignment="1">
      <alignment horizontal="right"/>
    </xf>
    <xf numFmtId="0" fontId="8" fillId="0" borderId="0" xfId="18" applyFont="1" applyBorder="1" applyAlignment="1">
      <alignment horizontal="center" vertical="center"/>
    </xf>
    <xf numFmtId="0" fontId="8" fillId="0" borderId="0" xfId="0" applyNumberFormat="1" applyFont="1" applyBorder="1" applyAlignment="1" applyProtection="1">
      <alignment horizontal="center" vertical="center"/>
      <protection locked="0"/>
    </xf>
    <xf numFmtId="0" fontId="8" fillId="0" borderId="0" xfId="18" applyFont="1" applyBorder="1" applyAlignment="1">
      <alignment horizontal="distributed" vertical="center" wrapText="1"/>
    </xf>
    <xf numFmtId="209" fontId="58" fillId="0" borderId="463" xfId="17" applyNumberFormat="1" applyFont="1" applyFill="1" applyBorder="1" applyAlignment="1">
      <alignment horizontal="center" vertical="center"/>
    </xf>
    <xf numFmtId="209" fontId="58" fillId="0" borderId="363" xfId="17" applyNumberFormat="1" applyFont="1" applyFill="1" applyBorder="1" applyAlignment="1">
      <alignment horizontal="center" vertical="center"/>
    </xf>
    <xf numFmtId="0" fontId="24" fillId="0" borderId="0" xfId="17" applyFont="1" applyFill="1" applyBorder="1" applyAlignment="1">
      <alignment horizontal="center"/>
    </xf>
    <xf numFmtId="0" fontId="58" fillId="0" borderId="464" xfId="17" applyFont="1" applyBorder="1" applyAlignment="1">
      <alignment horizontal="center" vertical="center"/>
    </xf>
    <xf numFmtId="0" fontId="58" fillId="0" borderId="444" xfId="17" applyFont="1" applyBorder="1" applyAlignment="1">
      <alignment horizontal="center" vertical="center"/>
    </xf>
    <xf numFmtId="0" fontId="58" fillId="0" borderId="0" xfId="17" applyNumberFormat="1" applyFont="1" applyFill="1" applyBorder="1" applyAlignment="1" applyProtection="1">
      <alignment horizontal="center" vertical="center"/>
      <protection locked="0"/>
    </xf>
    <xf numFmtId="0" fontId="24" fillId="0" borderId="0" xfId="17" applyFont="1" applyFill="1" applyAlignment="1">
      <alignment horizontal="center"/>
    </xf>
    <xf numFmtId="0" fontId="8" fillId="0" borderId="465" xfId="17" applyNumberFormat="1" applyFont="1" applyFill="1" applyBorder="1" applyAlignment="1" applyProtection="1">
      <alignment horizontal="center" vertical="center"/>
      <protection locked="0"/>
    </xf>
    <xf numFmtId="0" fontId="8" fillId="0" borderId="115" xfId="17" applyNumberFormat="1" applyFont="1" applyFill="1" applyBorder="1" applyAlignment="1" applyProtection="1">
      <alignment horizontal="center" vertical="center"/>
      <protection locked="0"/>
    </xf>
    <xf numFmtId="0" fontId="8" fillId="0" borderId="0" xfId="17" applyNumberFormat="1" applyFont="1" applyAlignment="1" applyProtection="1">
      <alignment horizontal="center"/>
      <protection locked="0"/>
    </xf>
    <xf numFmtId="0" fontId="8" fillId="0" borderId="466" xfId="17" applyNumberFormat="1" applyFont="1" applyBorder="1" applyAlignment="1" applyProtection="1">
      <alignment horizontal="center" vertical="center"/>
      <protection locked="0"/>
    </xf>
    <xf numFmtId="0" fontId="8" fillId="0" borderId="467" xfId="17" applyNumberFormat="1" applyFont="1" applyBorder="1" applyAlignment="1" applyProtection="1">
      <alignment horizontal="center" vertical="center"/>
      <protection locked="0"/>
    </xf>
    <xf numFmtId="0" fontId="8" fillId="0" borderId="30" xfId="17" applyNumberFormat="1" applyFont="1" applyBorder="1" applyAlignment="1" applyProtection="1">
      <alignment horizontal="center" vertical="center"/>
      <protection locked="0"/>
    </xf>
    <xf numFmtId="0" fontId="8" fillId="0" borderId="468" xfId="17" applyNumberFormat="1" applyFont="1" applyBorder="1" applyAlignment="1" applyProtection="1">
      <alignment horizontal="center" vertical="center"/>
      <protection locked="0"/>
    </xf>
    <xf numFmtId="0" fontId="8" fillId="0" borderId="469" xfId="17" applyNumberFormat="1" applyFont="1" applyBorder="1" applyAlignment="1" applyProtection="1">
      <alignment horizontal="center" vertical="center"/>
      <protection locked="0"/>
    </xf>
    <xf numFmtId="0" fontId="8" fillId="0" borderId="468" xfId="17" applyNumberFormat="1" applyFont="1" applyFill="1" applyBorder="1" applyAlignment="1" applyProtection="1">
      <alignment horizontal="center" vertical="center" wrapText="1"/>
      <protection locked="0"/>
    </xf>
    <xf numFmtId="0" fontId="8" fillId="0" borderId="467" xfId="17" applyNumberFormat="1" applyFont="1" applyFill="1" applyBorder="1" applyAlignment="1" applyProtection="1">
      <alignment horizontal="center" vertical="center"/>
      <protection locked="0"/>
    </xf>
    <xf numFmtId="0" fontId="8" fillId="0" borderId="30" xfId="17" applyNumberFormat="1" applyFont="1" applyFill="1" applyBorder="1" applyAlignment="1" applyProtection="1">
      <alignment horizontal="center" vertical="center"/>
      <protection locked="0"/>
    </xf>
    <xf numFmtId="0" fontId="8" fillId="0" borderId="0" xfId="0" applyNumberFormat="1" applyFont="1" applyAlignment="1" applyProtection="1">
      <alignment horizontal="center"/>
      <protection locked="0"/>
    </xf>
    <xf numFmtId="0" fontId="8" fillId="0" borderId="57" xfId="0" applyNumberFormat="1" applyFont="1" applyBorder="1" applyAlignment="1" applyProtection="1">
      <alignment horizontal="center"/>
      <protection locked="0"/>
    </xf>
    <xf numFmtId="0" fontId="8" fillId="0" borderId="58" xfId="0" applyNumberFormat="1" applyFont="1" applyBorder="1" applyAlignment="1" applyProtection="1">
      <alignment horizontal="center"/>
      <protection locked="0"/>
    </xf>
    <xf numFmtId="0" fontId="8" fillId="0" borderId="142" xfId="0" applyNumberFormat="1" applyFont="1" applyBorder="1" applyAlignment="1" applyProtection="1">
      <alignment horizontal="center" vertical="center"/>
      <protection locked="0"/>
    </xf>
    <xf numFmtId="0" fontId="0" fillId="0" borderId="470" xfId="0" applyNumberFormat="1" applyFont="1" applyBorder="1" applyAlignment="1" applyProtection="1">
      <protection locked="0"/>
    </xf>
    <xf numFmtId="0" fontId="0" fillId="0" borderId="471" xfId="0" applyNumberFormat="1" applyFont="1" applyBorder="1" applyAlignment="1" applyProtection="1">
      <protection locked="0"/>
    </xf>
    <xf numFmtId="0" fontId="8" fillId="0" borderId="142" xfId="0" applyNumberFormat="1" applyFont="1" applyBorder="1" applyAlignment="1" applyProtection="1">
      <alignment horizontal="center" vertical="center" wrapText="1"/>
      <protection locked="0"/>
    </xf>
    <xf numFmtId="0" fontId="8" fillId="0" borderId="470" xfId="0" applyNumberFormat="1" applyFont="1" applyBorder="1" applyAlignment="1" applyProtection="1">
      <alignment horizontal="center" vertical="center"/>
      <protection locked="0"/>
    </xf>
    <xf numFmtId="0" fontId="8" fillId="0" borderId="118" xfId="0" applyNumberFormat="1" applyFont="1" applyBorder="1" applyAlignment="1" applyProtection="1">
      <alignment horizontal="center" vertical="center"/>
      <protection locked="0"/>
    </xf>
    <xf numFmtId="213" fontId="8" fillId="0" borderId="425" xfId="0" applyNumberFormat="1" applyFont="1" applyBorder="1" applyAlignment="1" applyProtection="1">
      <alignment horizontal="center" vertical="center"/>
      <protection locked="0"/>
    </xf>
    <xf numFmtId="213" fontId="8" fillId="0" borderId="472" xfId="0" applyNumberFormat="1" applyFont="1" applyBorder="1" applyAlignment="1" applyProtection="1">
      <alignment horizontal="center" vertical="center"/>
      <protection locked="0"/>
    </xf>
    <xf numFmtId="213" fontId="8" fillId="0" borderId="105" xfId="0" applyNumberFormat="1" applyFont="1" applyBorder="1" applyAlignment="1" applyProtection="1">
      <alignment horizontal="center" vertical="center"/>
      <protection locked="0"/>
    </xf>
    <xf numFmtId="213" fontId="8" fillId="0" borderId="56" xfId="0" applyNumberFormat="1" applyFont="1" applyBorder="1" applyAlignment="1" applyProtection="1">
      <alignment horizontal="center" vertical="center"/>
      <protection locked="0"/>
    </xf>
    <xf numFmtId="213" fontId="8" fillId="0" borderId="210" xfId="0" applyNumberFormat="1" applyFont="1" applyBorder="1" applyAlignment="1" applyProtection="1">
      <alignment horizontal="center" vertical="center"/>
      <protection locked="0"/>
    </xf>
    <xf numFmtId="213" fontId="8" fillId="0" borderId="58" xfId="0" applyNumberFormat="1" applyFont="1" applyBorder="1" applyAlignment="1" applyProtection="1">
      <alignment horizontal="center" vertical="center"/>
      <protection locked="0"/>
    </xf>
    <xf numFmtId="214" fontId="8" fillId="0" borderId="425" xfId="0" applyNumberFormat="1" applyFont="1" applyBorder="1" applyAlignment="1" applyProtection="1">
      <alignment horizontal="right" vertical="center"/>
      <protection locked="0"/>
    </xf>
    <xf numFmtId="214" fontId="8" fillId="0" borderId="105" xfId="0" applyNumberFormat="1" applyFont="1" applyBorder="1" applyAlignment="1" applyProtection="1">
      <alignment horizontal="right" vertical="center"/>
      <protection locked="0"/>
    </xf>
    <xf numFmtId="214" fontId="8" fillId="0" borderId="473" xfId="0" applyNumberFormat="1" applyFont="1" applyBorder="1" applyAlignment="1" applyProtection="1">
      <alignment horizontal="right" vertical="center"/>
      <protection locked="0"/>
    </xf>
    <xf numFmtId="213" fontId="8" fillId="0" borderId="472" xfId="0" applyNumberFormat="1" applyFont="1" applyBorder="1" applyAlignment="1" applyProtection="1">
      <alignment horizontal="left" vertical="center"/>
      <protection locked="0"/>
    </xf>
    <xf numFmtId="213" fontId="8" fillId="0" borderId="56" xfId="0" applyNumberFormat="1" applyFont="1" applyBorder="1" applyAlignment="1" applyProtection="1">
      <alignment horizontal="left" vertical="center"/>
      <protection locked="0"/>
    </xf>
    <xf numFmtId="213" fontId="8" fillId="0" borderId="474" xfId="0" applyNumberFormat="1" applyFont="1" applyBorder="1" applyAlignment="1" applyProtection="1">
      <alignment horizontal="left" vertical="center"/>
      <protection locked="0"/>
    </xf>
    <xf numFmtId="0" fontId="8" fillId="0" borderId="465" xfId="17" applyNumberFormat="1" applyFont="1" applyFill="1" applyBorder="1" applyAlignment="1" applyProtection="1">
      <alignment horizontal="distributed" vertical="center"/>
      <protection locked="0"/>
    </xf>
    <xf numFmtId="0" fontId="8" fillId="0" borderId="115" xfId="17" applyNumberFormat="1" applyFont="1" applyFill="1" applyBorder="1" applyAlignment="1" applyProtection="1">
      <alignment horizontal="distributed" vertical="center"/>
      <protection locked="0"/>
    </xf>
    <xf numFmtId="0" fontId="8" fillId="0" borderId="53" xfId="17" applyNumberFormat="1" applyFont="1" applyBorder="1" applyAlignment="1" applyProtection="1">
      <alignment horizontal="center" vertical="center"/>
      <protection locked="0"/>
    </xf>
    <xf numFmtId="0" fontId="8" fillId="0" borderId="54" xfId="17" applyNumberFormat="1" applyFont="1" applyBorder="1" applyAlignment="1" applyProtection="1">
      <alignment horizontal="center" vertical="center"/>
      <protection locked="0"/>
    </xf>
    <xf numFmtId="0" fontId="8" fillId="0" borderId="53" xfId="17" applyNumberFormat="1" applyFont="1" applyBorder="1" applyAlignment="1" applyProtection="1">
      <alignment horizontal="center" vertical="center" wrapText="1"/>
      <protection locked="0"/>
    </xf>
    <xf numFmtId="0" fontId="8" fillId="0" borderId="54" xfId="17" applyNumberFormat="1" applyFont="1" applyBorder="1" applyAlignment="1" applyProtection="1">
      <alignment horizontal="center" vertical="center" wrapText="1"/>
      <protection locked="0"/>
    </xf>
    <xf numFmtId="0" fontId="8" fillId="0" borderId="107" xfId="17" applyNumberFormat="1" applyFont="1" applyBorder="1" applyAlignment="1" applyProtection="1">
      <alignment horizontal="center" vertical="center"/>
      <protection locked="0"/>
    </xf>
    <xf numFmtId="0" fontId="8" fillId="0" borderId="476" xfId="17" applyNumberFormat="1" applyFont="1" applyBorder="1" applyAlignment="1" applyProtection="1">
      <alignment horizontal="center" vertical="center"/>
      <protection locked="0"/>
    </xf>
    <xf numFmtId="0" fontId="8" fillId="0" borderId="209" xfId="17" applyNumberFormat="1" applyFont="1" applyBorder="1" applyAlignment="1" applyProtection="1">
      <alignment horizontal="center" vertical="center"/>
      <protection locked="0"/>
    </xf>
    <xf numFmtId="0" fontId="8" fillId="0" borderId="143" xfId="17" applyNumberFormat="1" applyFont="1" applyBorder="1" applyAlignment="1" applyProtection="1">
      <alignment horizontal="center" vertical="center"/>
      <protection locked="0"/>
    </xf>
    <xf numFmtId="0" fontId="8" fillId="0" borderId="143" xfId="17" applyNumberFormat="1" applyFont="1" applyBorder="1" applyAlignment="1" applyProtection="1">
      <alignment horizontal="center" vertical="center" wrapText="1"/>
      <protection locked="0"/>
    </xf>
    <xf numFmtId="0" fontId="8" fillId="0" borderId="475" xfId="17" applyNumberFormat="1" applyFont="1" applyBorder="1" applyAlignment="1" applyProtection="1">
      <alignment horizontal="center" vertical="center"/>
      <protection locked="0"/>
    </xf>
    <xf numFmtId="38" fontId="8" fillId="0" borderId="46" xfId="10" applyFont="1" applyBorder="1" applyAlignment="1" applyProtection="1">
      <alignment horizontal="right"/>
    </xf>
    <xf numFmtId="38" fontId="8" fillId="0" borderId="45" xfId="10" applyFont="1" applyBorder="1" applyAlignment="1" applyProtection="1">
      <alignment horizontal="right"/>
    </xf>
    <xf numFmtId="38" fontId="8" fillId="0" borderId="477" xfId="10" applyFont="1" applyBorder="1" applyAlignment="1" applyProtection="1">
      <alignment horizontal="right"/>
    </xf>
    <xf numFmtId="38" fontId="8" fillId="0" borderId="478" xfId="10" applyFont="1" applyBorder="1" applyAlignment="1" applyProtection="1">
      <alignment horizontal="right"/>
    </xf>
    <xf numFmtId="38" fontId="8" fillId="0" borderId="479" xfId="10" applyFont="1" applyBorder="1" applyAlignment="1" applyProtection="1">
      <alignment horizontal="right"/>
    </xf>
    <xf numFmtId="38" fontId="8" fillId="0" borderId="477" xfId="10" applyFont="1" applyBorder="1" applyAlignment="1" applyProtection="1">
      <alignment horizontal="center"/>
    </xf>
    <xf numFmtId="38" fontId="8" fillId="0" borderId="479" xfId="10" applyFont="1" applyBorder="1" applyAlignment="1" applyProtection="1">
      <alignment horizontal="center"/>
    </xf>
    <xf numFmtId="38" fontId="8" fillId="0" borderId="207" xfId="10" applyFont="1" applyBorder="1" applyAlignment="1" applyProtection="1">
      <alignment horizontal="right"/>
    </xf>
    <xf numFmtId="38" fontId="8" fillId="0" borderId="480" xfId="10" applyFont="1" applyBorder="1" applyAlignment="1" applyProtection="1">
      <alignment horizontal="right"/>
    </xf>
    <xf numFmtId="38" fontId="8" fillId="0" borderId="183" xfId="10" applyFont="1" applyBorder="1" applyAlignment="1" applyProtection="1">
      <alignment horizontal="right"/>
    </xf>
    <xf numFmtId="0" fontId="8" fillId="0" borderId="481" xfId="17" applyNumberFormat="1" applyFont="1" applyBorder="1" applyAlignment="1" applyProtection="1">
      <alignment horizontal="center" vertical="center"/>
      <protection locked="0"/>
    </xf>
    <xf numFmtId="0" fontId="8" fillId="0" borderId="482" xfId="17" applyNumberFormat="1" applyFont="1" applyBorder="1" applyAlignment="1" applyProtection="1">
      <alignment horizontal="center" vertical="center"/>
      <protection locked="0"/>
    </xf>
    <xf numFmtId="0" fontId="8" fillId="0" borderId="479" xfId="17" applyNumberFormat="1" applyFont="1" applyBorder="1" applyAlignment="1" applyProtection="1">
      <alignment horizontal="center" vertical="center"/>
      <protection locked="0"/>
    </xf>
    <xf numFmtId="38" fontId="8" fillId="0" borderId="162" xfId="10" applyFont="1" applyBorder="1" applyAlignment="1" applyProtection="1">
      <alignment horizontal="right"/>
    </xf>
    <xf numFmtId="38" fontId="8" fillId="0" borderId="204" xfId="10" applyFont="1" applyBorder="1" applyAlignment="1" applyProtection="1">
      <alignment horizontal="right"/>
    </xf>
    <xf numFmtId="38" fontId="8" fillId="0" borderId="43" xfId="10" applyFont="1" applyBorder="1" applyAlignment="1" applyProtection="1">
      <alignment horizontal="right"/>
    </xf>
    <xf numFmtId="0" fontId="8" fillId="0" borderId="141" xfId="17" applyNumberFormat="1" applyFont="1" applyBorder="1" applyAlignment="1" applyProtection="1">
      <alignment horizontal="center" vertical="center"/>
      <protection locked="0"/>
    </xf>
    <xf numFmtId="0" fontId="8" fillId="0" borderId="1" xfId="17" applyNumberFormat="1" applyFont="1" applyBorder="1" applyAlignment="1" applyProtection="1">
      <alignment horizontal="center" vertical="center"/>
      <protection locked="0"/>
    </xf>
    <xf numFmtId="0" fontId="8" fillId="0" borderId="115" xfId="17" applyNumberFormat="1" applyFont="1" applyBorder="1" applyAlignment="1" applyProtection="1">
      <alignment horizontal="center" vertical="center"/>
      <protection locked="0"/>
    </xf>
    <xf numFmtId="38" fontId="8" fillId="0" borderId="483" xfId="10" applyFont="1" applyBorder="1" applyAlignment="1" applyProtection="1">
      <alignment horizontal="right"/>
    </xf>
    <xf numFmtId="0" fontId="8" fillId="0" borderId="465" xfId="17" applyNumberFormat="1" applyFont="1" applyBorder="1" applyAlignment="1" applyProtection="1">
      <alignment horizontal="center" vertical="center"/>
      <protection locked="0"/>
    </xf>
    <xf numFmtId="0" fontId="8" fillId="0" borderId="116" xfId="17" applyNumberFormat="1" applyFont="1" applyBorder="1" applyAlignment="1" applyProtection="1">
      <alignment horizontal="center" vertical="center"/>
      <protection locked="0"/>
    </xf>
    <xf numFmtId="0" fontId="9" fillId="0" borderId="0" xfId="0" applyNumberFormat="1" applyFont="1" applyAlignment="1" applyProtection="1">
      <alignment horizontal="center" vertical="center"/>
      <protection locked="0"/>
    </xf>
    <xf numFmtId="206" fontId="30" fillId="0" borderId="46" xfId="14" applyNumberFormat="1" applyFont="1" applyFill="1" applyBorder="1" applyAlignment="1">
      <alignment horizontal="center" vertical="center"/>
    </xf>
    <xf numFmtId="206" fontId="30" fillId="0" borderId="2" xfId="14" applyNumberFormat="1" applyFont="1" applyFill="1" applyBorder="1" applyAlignment="1">
      <alignment horizontal="center" vertical="center"/>
    </xf>
    <xf numFmtId="206" fontId="30" fillId="0" borderId="45" xfId="14" applyNumberFormat="1" applyFont="1" applyFill="1" applyBorder="1" applyAlignment="1">
      <alignment horizontal="center" vertical="center"/>
    </xf>
    <xf numFmtId="194" fontId="0" fillId="0" borderId="46" xfId="0" applyNumberFormat="1" applyFont="1" applyBorder="1" applyAlignment="1" applyProtection="1">
      <alignment horizontal="center" vertical="center"/>
      <protection locked="0"/>
    </xf>
    <xf numFmtId="194" fontId="0" fillId="0" borderId="2" xfId="0" applyNumberFormat="1" applyFont="1" applyBorder="1" applyAlignment="1" applyProtection="1">
      <alignment horizontal="center" vertical="center"/>
      <protection locked="0"/>
    </xf>
    <xf numFmtId="194" fontId="0" fillId="0" borderId="45" xfId="0" applyNumberFormat="1" applyFont="1" applyBorder="1" applyAlignment="1" applyProtection="1">
      <alignment horizontal="center" vertical="center"/>
      <protection locked="0"/>
    </xf>
    <xf numFmtId="0" fontId="0" fillId="0" borderId="46" xfId="0" applyNumberFormat="1" applyFont="1" applyBorder="1" applyAlignment="1" applyProtection="1">
      <alignment horizontal="center" vertical="center"/>
      <protection locked="0"/>
    </xf>
    <xf numFmtId="0" fontId="0" fillId="0" borderId="2" xfId="0" applyNumberFormat="1" applyFont="1" applyBorder="1" applyAlignment="1" applyProtection="1">
      <alignment horizontal="center" vertical="center"/>
      <protection locked="0"/>
    </xf>
    <xf numFmtId="0" fontId="0" fillId="0" borderId="45" xfId="0" applyNumberFormat="1" applyFont="1" applyBorder="1" applyAlignment="1" applyProtection="1">
      <alignment horizontal="center" vertical="center"/>
      <protection locked="0"/>
    </xf>
    <xf numFmtId="0" fontId="30" fillId="0" borderId="46" xfId="14" applyFont="1" applyFill="1" applyBorder="1" applyAlignment="1">
      <alignment horizontal="center" vertical="center"/>
    </xf>
    <xf numFmtId="0" fontId="32" fillId="0" borderId="2" xfId="0" applyNumberFormat="1" applyFont="1" applyFill="1" applyBorder="1" applyAlignment="1" applyProtection="1">
      <alignment horizontal="center" vertical="center"/>
      <protection locked="0"/>
    </xf>
    <xf numFmtId="0" fontId="32" fillId="0" borderId="45" xfId="0" applyNumberFormat="1" applyFont="1" applyFill="1" applyBorder="1" applyAlignment="1" applyProtection="1">
      <alignment horizontal="center" vertical="center"/>
      <protection locked="0"/>
    </xf>
    <xf numFmtId="0" fontId="30" fillId="0" borderId="83" xfId="14" applyFont="1" applyFill="1" applyBorder="1" applyAlignment="1">
      <alignment horizontal="center" vertical="center"/>
    </xf>
    <xf numFmtId="0" fontId="32" fillId="0" borderId="79" xfId="0" applyNumberFormat="1" applyFont="1" applyFill="1" applyBorder="1" applyAlignment="1" applyProtection="1">
      <alignment horizontal="center" vertical="center"/>
      <protection locked="0"/>
    </xf>
    <xf numFmtId="0" fontId="32" fillId="0" borderId="363" xfId="0" applyNumberFormat="1" applyFont="1" applyFill="1" applyBorder="1" applyAlignment="1" applyProtection="1">
      <alignment horizontal="center" vertical="center"/>
      <protection locked="0"/>
    </xf>
    <xf numFmtId="176" fontId="0" fillId="0" borderId="0" xfId="0" applyFill="1" applyAlignment="1">
      <alignment horizontal="center"/>
    </xf>
    <xf numFmtId="201" fontId="60" fillId="10" borderId="0" xfId="0" applyNumberFormat="1" applyFont="1" applyFill="1" applyBorder="1" applyAlignment="1">
      <alignment horizontal="center"/>
    </xf>
    <xf numFmtId="176" fontId="54" fillId="0" borderId="0" xfId="0" applyFont="1" applyFill="1" applyAlignment="1">
      <alignment horizontal="left" vertical="top" wrapText="1"/>
    </xf>
    <xf numFmtId="176" fontId="54" fillId="0" borderId="180" xfId="0" applyFont="1" applyFill="1" applyBorder="1" applyAlignment="1">
      <alignment horizontal="left" vertical="top" wrapText="1"/>
    </xf>
    <xf numFmtId="176" fontId="60" fillId="10" borderId="0" xfId="0" applyFont="1" applyFill="1" applyAlignment="1">
      <alignment horizontal="left"/>
    </xf>
    <xf numFmtId="176" fontId="0" fillId="0" borderId="0" xfId="0" applyAlignment="1">
      <alignment horizontal="center"/>
    </xf>
    <xf numFmtId="220" fontId="0" fillId="0" borderId="0" xfId="0" applyNumberFormat="1" applyBorder="1" applyAlignment="1">
      <alignment horizontal="center"/>
    </xf>
    <xf numFmtId="176" fontId="54" fillId="0" borderId="0" xfId="0" applyFont="1" applyAlignment="1">
      <alignment horizontal="left" vertical="top" wrapText="1"/>
    </xf>
    <xf numFmtId="176" fontId="54" fillId="0" borderId="180" xfId="0" applyFont="1" applyBorder="1" applyAlignment="1">
      <alignment horizontal="left" vertical="top" wrapText="1"/>
    </xf>
    <xf numFmtId="0" fontId="1" fillId="0" borderId="376" xfId="11" applyNumberFormat="1" applyFont="1" applyBorder="1" applyAlignment="1">
      <alignment horizontal="left" vertical="top" wrapText="1"/>
    </xf>
    <xf numFmtId="0" fontId="1" fillId="0" borderId="0" xfId="11" applyNumberFormat="1" applyFont="1" applyAlignment="1">
      <alignment horizontal="left" vertical="top" wrapText="1"/>
    </xf>
    <xf numFmtId="212" fontId="15" fillId="0" borderId="46" xfId="11" applyNumberFormat="1" applyFont="1" applyBorder="1" applyAlignment="1" applyProtection="1">
      <alignment horizontal="right"/>
    </xf>
    <xf numFmtId="212" fontId="15" fillId="0" borderId="2" xfId="11" applyNumberFormat="1" applyFont="1" applyBorder="1" applyAlignment="1" applyProtection="1">
      <alignment horizontal="right"/>
    </xf>
    <xf numFmtId="212" fontId="15" fillId="0" borderId="33" xfId="11" applyNumberFormat="1" applyFont="1" applyBorder="1" applyAlignment="1" applyProtection="1">
      <alignment horizontal="right"/>
    </xf>
    <xf numFmtId="4" fontId="15" fillId="0" borderId="46" xfId="11" applyNumberFormat="1" applyFont="1" applyBorder="1" applyAlignment="1" applyProtection="1">
      <alignment horizontal="right"/>
    </xf>
    <xf numFmtId="4" fontId="15" fillId="0" borderId="2" xfId="11" applyNumberFormat="1" applyFont="1" applyBorder="1" applyAlignment="1" applyProtection="1">
      <alignment horizontal="right"/>
    </xf>
    <xf numFmtId="4" fontId="15" fillId="0" borderId="33" xfId="11" applyNumberFormat="1" applyFont="1" applyBorder="1" applyAlignment="1" applyProtection="1">
      <alignment horizontal="right"/>
    </xf>
    <xf numFmtId="4" fontId="15" fillId="0" borderId="248" xfId="11" applyNumberFormat="1" applyFont="1" applyBorder="1" applyAlignment="1" applyProtection="1">
      <alignment horizontal="right"/>
    </xf>
    <xf numFmtId="4" fontId="15" fillId="0" borderId="243" xfId="11" applyNumberFormat="1" applyFont="1" applyBorder="1" applyAlignment="1" applyProtection="1">
      <alignment horizontal="right"/>
    </xf>
    <xf numFmtId="4" fontId="15" fillId="0" borderId="37" xfId="11" applyNumberFormat="1" applyFont="1" applyBorder="1" applyAlignment="1" applyProtection="1">
      <alignment horizontal="right"/>
    </xf>
    <xf numFmtId="4" fontId="67" fillId="0" borderId="0" xfId="11" applyNumberFormat="1" applyFont="1" applyAlignment="1">
      <alignment horizontal="center" vertical="center"/>
    </xf>
    <xf numFmtId="0" fontId="67" fillId="0" borderId="0" xfId="11" applyFont="1" applyAlignment="1">
      <alignment horizontal="right" vertical="center"/>
    </xf>
    <xf numFmtId="0" fontId="15" fillId="0" borderId="247" xfId="11" applyNumberFormat="1" applyFont="1" applyBorder="1" applyAlignment="1" applyProtection="1">
      <alignment horizontal="center"/>
      <protection locked="0"/>
    </xf>
    <xf numFmtId="0" fontId="15" fillId="0" borderId="215" xfId="11" applyNumberFormat="1" applyFont="1" applyBorder="1" applyAlignment="1" applyProtection="1">
      <alignment horizontal="center"/>
      <protection locked="0"/>
    </xf>
    <xf numFmtId="0" fontId="15" fillId="0" borderId="110" xfId="11" applyNumberFormat="1" applyFont="1" applyBorder="1" applyAlignment="1" applyProtection="1">
      <alignment horizontal="center"/>
      <protection locked="0"/>
    </xf>
    <xf numFmtId="0" fontId="15" fillId="0" borderId="46" xfId="11" applyNumberFormat="1" applyFont="1" applyBorder="1" applyAlignment="1" applyProtection="1">
      <alignment horizontal="center"/>
    </xf>
    <xf numFmtId="0" fontId="15" fillId="0" borderId="2" xfId="11" applyNumberFormat="1" applyFont="1" applyBorder="1" applyAlignment="1" applyProtection="1">
      <alignment horizontal="center"/>
    </xf>
    <xf numFmtId="0" fontId="15" fillId="0" borderId="33" xfId="11" applyNumberFormat="1" applyFont="1" applyBorder="1" applyAlignment="1" applyProtection="1">
      <alignment horizontal="center"/>
    </xf>
    <xf numFmtId="0" fontId="1" fillId="0" borderId="484" xfId="12" applyNumberFormat="1" applyFont="1" applyBorder="1" applyAlignment="1">
      <alignment horizontal="center"/>
    </xf>
    <xf numFmtId="0" fontId="1" fillId="0" borderId="485" xfId="12" applyNumberFormat="1" applyFont="1" applyBorder="1" applyAlignment="1">
      <alignment horizontal="center"/>
    </xf>
    <xf numFmtId="0" fontId="1" fillId="0" borderId="486" xfId="12" applyNumberFormat="1" applyFont="1" applyBorder="1" applyAlignment="1">
      <alignment horizontal="center"/>
    </xf>
    <xf numFmtId="0" fontId="1" fillId="0" borderId="487" xfId="12" applyNumberFormat="1" applyFont="1" applyBorder="1" applyAlignment="1">
      <alignment horizontal="center"/>
    </xf>
    <xf numFmtId="0" fontId="1" fillId="0" borderId="488" xfId="12" applyNumberFormat="1" applyFont="1" applyBorder="1" applyAlignment="1">
      <alignment horizontal="center"/>
    </xf>
    <xf numFmtId="0" fontId="1" fillId="0" borderId="410" xfId="13" applyNumberFormat="1" applyFont="1" applyBorder="1" applyAlignment="1" applyProtection="1">
      <alignment horizontal="center" vertical="center"/>
      <protection locked="0"/>
    </xf>
    <xf numFmtId="0" fontId="1" fillId="0" borderId="270" xfId="13" applyNumberFormat="1" applyFont="1" applyBorder="1" applyAlignment="1" applyProtection="1">
      <alignment horizontal="center" vertical="center"/>
      <protection locked="0"/>
    </xf>
    <xf numFmtId="0" fontId="1" fillId="0" borderId="489" xfId="13" applyNumberFormat="1" applyFont="1" applyBorder="1" applyAlignment="1" applyProtection="1">
      <alignment horizontal="center" vertical="center"/>
      <protection locked="0"/>
    </xf>
    <xf numFmtId="0" fontId="1" fillId="0" borderId="25" xfId="13" applyFont="1" applyBorder="1" applyAlignment="1">
      <alignment horizontal="center"/>
    </xf>
    <xf numFmtId="0" fontId="1" fillId="0" borderId="490" xfId="13" applyFont="1" applyBorder="1" applyAlignment="1">
      <alignment horizontal="center"/>
    </xf>
    <xf numFmtId="0" fontId="1" fillId="0" borderId="277" xfId="13" applyFont="1" applyBorder="1" applyAlignment="1">
      <alignment horizontal="left" vertical="center"/>
    </xf>
    <xf numFmtId="0" fontId="1" fillId="0" borderId="275" xfId="13" applyFont="1" applyBorder="1" applyAlignment="1">
      <alignment horizontal="left" vertical="center"/>
    </xf>
    <xf numFmtId="0" fontId="1" fillId="0" borderId="274" xfId="13" applyFont="1" applyBorder="1" applyAlignment="1">
      <alignment horizontal="left" vertical="center"/>
    </xf>
    <xf numFmtId="0" fontId="1" fillId="0" borderId="276" xfId="13" applyFont="1" applyBorder="1" applyAlignment="1">
      <alignment horizontal="left" vertical="center"/>
    </xf>
    <xf numFmtId="0" fontId="1" fillId="0" borderId="491" xfId="13" applyFont="1" applyBorder="1" applyAlignment="1">
      <alignment horizontal="left" vertical="center"/>
    </xf>
    <xf numFmtId="0" fontId="1" fillId="0" borderId="492" xfId="13" applyFont="1" applyBorder="1" applyAlignment="1">
      <alignment horizontal="left" vertical="center"/>
    </xf>
    <xf numFmtId="0" fontId="1" fillId="0" borderId="497" xfId="13" applyFont="1" applyBorder="1" applyAlignment="1">
      <alignment horizontal="left" vertical="center"/>
    </xf>
    <xf numFmtId="0" fontId="1" fillId="0" borderId="498" xfId="13" applyFont="1" applyBorder="1" applyAlignment="1">
      <alignment horizontal="left" vertical="center"/>
    </xf>
    <xf numFmtId="0" fontId="1" fillId="0" borderId="53" xfId="13" applyFont="1" applyFill="1" applyBorder="1" applyAlignment="1">
      <alignment horizontal="center" vertical="center"/>
    </xf>
    <xf numFmtId="0" fontId="1" fillId="0" borderId="54" xfId="13" applyFont="1" applyFill="1" applyBorder="1" applyAlignment="1">
      <alignment horizontal="center" vertical="center"/>
    </xf>
    <xf numFmtId="0" fontId="1" fillId="0" borderId="493" xfId="13" applyFont="1" applyFill="1" applyBorder="1" applyAlignment="1">
      <alignment horizontal="left" vertical="center" wrapText="1"/>
    </xf>
    <xf numFmtId="0" fontId="1" fillId="0" borderId="59" xfId="13" applyFont="1" applyFill="1" applyBorder="1" applyAlignment="1">
      <alignment horizontal="left" vertical="center" wrapText="1"/>
    </xf>
    <xf numFmtId="0" fontId="1" fillId="0" borderId="49" xfId="13" applyFont="1" applyFill="1" applyBorder="1" applyAlignment="1">
      <alignment horizontal="left" vertical="center" wrapText="1"/>
    </xf>
    <xf numFmtId="0" fontId="1" fillId="0" borderId="494" xfId="13" applyFont="1" applyFill="1" applyBorder="1" applyAlignment="1">
      <alignment horizontal="left" vertical="center" wrapText="1"/>
    </xf>
    <xf numFmtId="0" fontId="1" fillId="0" borderId="106" xfId="13" applyFont="1" applyFill="1" applyBorder="1" applyAlignment="1">
      <alignment horizontal="left" vertical="center" wrapText="1"/>
    </xf>
    <xf numFmtId="0" fontId="1" fillId="0" borderId="47" xfId="13" applyFont="1" applyFill="1" applyBorder="1" applyAlignment="1">
      <alignment horizontal="left" vertical="center" wrapText="1"/>
    </xf>
    <xf numFmtId="0" fontId="1" fillId="0" borderId="493" xfId="13" applyFont="1" applyFill="1" applyBorder="1" applyAlignment="1">
      <alignment horizontal="center" vertical="center"/>
    </xf>
    <xf numFmtId="0" fontId="1" fillId="0" borderId="59" xfId="13" applyFont="1" applyFill="1" applyBorder="1" applyAlignment="1">
      <alignment horizontal="center" vertical="center"/>
    </xf>
    <xf numFmtId="0" fontId="1" fillId="0" borderId="49" xfId="13" applyFont="1" applyFill="1" applyBorder="1" applyAlignment="1">
      <alignment horizontal="center" vertical="center"/>
    </xf>
    <xf numFmtId="0" fontId="1" fillId="0" borderId="494" xfId="13" applyFont="1" applyFill="1" applyBorder="1" applyAlignment="1">
      <alignment horizontal="center" vertical="center"/>
    </xf>
    <xf numFmtId="0" fontId="1" fillId="0" borderId="106" xfId="13" applyFont="1" applyFill="1" applyBorder="1" applyAlignment="1">
      <alignment horizontal="center" vertical="center"/>
    </xf>
    <xf numFmtId="0" fontId="1" fillId="0" borderId="47" xfId="13" applyFont="1" applyFill="1" applyBorder="1" applyAlignment="1">
      <alignment horizontal="center" vertical="center"/>
    </xf>
    <xf numFmtId="0" fontId="1" fillId="0" borderId="495" xfId="13" applyFont="1" applyFill="1" applyBorder="1" applyAlignment="1">
      <alignment horizontal="center" vertical="center"/>
    </xf>
    <xf numFmtId="0" fontId="1" fillId="0" borderId="225" xfId="13" applyFont="1" applyFill="1" applyBorder="1" applyAlignment="1">
      <alignment horizontal="center" vertical="center"/>
    </xf>
    <xf numFmtId="223" fontId="1" fillId="0" borderId="496" xfId="0" applyNumberFormat="1" applyFont="1" applyFill="1" applyBorder="1" applyAlignment="1" applyProtection="1">
      <alignment horizontal="right" vertical="center"/>
    </xf>
    <xf numFmtId="223" fontId="1" fillId="0" borderId="270" xfId="0" applyNumberFormat="1" applyFont="1" applyFill="1" applyBorder="1" applyAlignment="1" applyProtection="1">
      <alignment horizontal="right" vertical="center"/>
    </xf>
    <xf numFmtId="223" fontId="1" fillId="0" borderId="362" xfId="0" applyNumberFormat="1" applyFont="1" applyFill="1" applyBorder="1" applyAlignment="1" applyProtection="1">
      <alignment horizontal="right" vertical="center"/>
    </xf>
    <xf numFmtId="0" fontId="1" fillId="0" borderId="476" xfId="13" applyFont="1" applyFill="1" applyBorder="1" applyAlignment="1">
      <alignment horizontal="center" vertical="center"/>
    </xf>
    <xf numFmtId="0" fontId="1" fillId="0" borderId="401" xfId="13" applyFont="1" applyFill="1" applyBorder="1" applyAlignment="1">
      <alignment horizontal="center" vertical="center"/>
    </xf>
    <xf numFmtId="0" fontId="1" fillId="0" borderId="277" xfId="13" applyFont="1" applyBorder="1" applyAlignment="1">
      <alignment horizontal="center" vertical="center" shrinkToFit="1"/>
    </xf>
    <xf numFmtId="0" fontId="1" fillId="0" borderId="275" xfId="13" applyFont="1" applyBorder="1" applyAlignment="1">
      <alignment horizontal="center" vertical="center" shrinkToFit="1"/>
    </xf>
    <xf numFmtId="0" fontId="11" fillId="0" borderId="0" xfId="13" quotePrefix="1" applyNumberFormat="1" applyFont="1" applyAlignment="1" applyProtection="1">
      <alignment horizontal="left"/>
      <protection locked="0"/>
    </xf>
    <xf numFmtId="0" fontId="11" fillId="0" borderId="499" xfId="13" quotePrefix="1" applyNumberFormat="1" applyFont="1" applyBorder="1" applyAlignment="1" applyProtection="1">
      <alignment horizontal="left"/>
      <protection locked="0"/>
    </xf>
    <xf numFmtId="0" fontId="11" fillId="0" borderId="0" xfId="13" quotePrefix="1" applyNumberFormat="1" applyFont="1" applyAlignment="1" applyProtection="1">
      <alignment horizontal="left" wrapText="1"/>
      <protection locked="0"/>
    </xf>
    <xf numFmtId="0" fontId="0" fillId="0" borderId="0" xfId="0" applyNumberFormat="1" applyFont="1" applyAlignment="1" applyProtection="1">
      <protection locked="0"/>
    </xf>
    <xf numFmtId="0" fontId="0" fillId="0" borderId="499" xfId="0" applyNumberFormat="1" applyFont="1" applyBorder="1" applyAlignment="1" applyProtection="1">
      <protection locked="0"/>
    </xf>
    <xf numFmtId="0" fontId="1" fillId="0" borderId="34" xfId="13" applyFont="1" applyFill="1" applyBorder="1" applyAlignment="1">
      <alignment horizontal="left" vertical="center" wrapText="1"/>
    </xf>
    <xf numFmtId="0" fontId="1" fillId="0" borderId="499" xfId="13" applyFont="1" applyFill="1" applyBorder="1" applyAlignment="1">
      <alignment horizontal="left" vertical="center" wrapText="1"/>
    </xf>
    <xf numFmtId="0" fontId="1" fillId="0" borderId="280" xfId="13" applyFont="1" applyFill="1" applyBorder="1" applyAlignment="1">
      <alignment horizontal="left" vertical="center" wrapText="1"/>
    </xf>
    <xf numFmtId="176" fontId="25" fillId="0" borderId="3" xfId="0" applyFont="1" applyBorder="1" applyAlignment="1">
      <alignment vertical="center"/>
    </xf>
    <xf numFmtId="176" fontId="24" fillId="0" borderId="0" xfId="0" applyFont="1" applyAlignment="1">
      <alignment horizontal="center"/>
    </xf>
    <xf numFmtId="176" fontId="25" fillId="0" borderId="0" xfId="0" applyFont="1" applyAlignment="1">
      <alignment horizontal="center"/>
    </xf>
    <xf numFmtId="176" fontId="25" fillId="0" borderId="46" xfId="0" applyFont="1" applyBorder="1" applyAlignment="1">
      <alignment horizontal="center" vertical="center"/>
    </xf>
    <xf numFmtId="176" fontId="25" fillId="0" borderId="45" xfId="0" applyFont="1" applyBorder="1" applyAlignment="1">
      <alignment horizontal="center" vertical="center"/>
    </xf>
    <xf numFmtId="38" fontId="21" fillId="10" borderId="261" xfId="10" applyFont="1" applyFill="1" applyBorder="1" applyAlignment="1" applyProtection="1">
      <alignment horizontal="center"/>
      <protection locked="0"/>
    </xf>
    <xf numFmtId="38" fontId="21" fillId="10" borderId="500" xfId="10" applyFont="1" applyFill="1" applyBorder="1" applyAlignment="1" applyProtection="1">
      <alignment horizontal="center"/>
      <protection locked="0"/>
    </xf>
    <xf numFmtId="0" fontId="21" fillId="10" borderId="261" xfId="0" applyNumberFormat="1" applyFont="1" applyFill="1" applyBorder="1" applyAlignment="1" applyProtection="1">
      <alignment horizontal="center"/>
      <protection locked="0"/>
    </xf>
    <xf numFmtId="0" fontId="21" fillId="10" borderId="260" xfId="0" applyNumberFormat="1" applyFont="1" applyFill="1" applyBorder="1" applyAlignment="1" applyProtection="1">
      <alignment horizontal="center"/>
      <protection locked="0"/>
    </xf>
    <xf numFmtId="38" fontId="21" fillId="0" borderId="0" xfId="10" applyFont="1" applyAlignment="1" applyProtection="1">
      <protection locked="0"/>
    </xf>
    <xf numFmtId="38" fontId="21" fillId="10" borderId="260" xfId="10" applyFont="1" applyFill="1" applyBorder="1" applyAlignment="1" applyProtection="1">
      <alignment horizontal="center"/>
      <protection locked="0"/>
    </xf>
    <xf numFmtId="38" fontId="21" fillId="10" borderId="262" xfId="10" applyFont="1" applyFill="1" applyBorder="1" applyAlignment="1" applyProtection="1">
      <alignment horizontal="center"/>
      <protection locked="0"/>
    </xf>
    <xf numFmtId="38" fontId="21" fillId="10" borderId="263" xfId="10" applyFont="1" applyFill="1" applyBorder="1" applyAlignment="1" applyProtection="1">
      <alignment horizontal="center"/>
      <protection locked="0"/>
    </xf>
    <xf numFmtId="3" fontId="21" fillId="0" borderId="501" xfId="0" applyNumberFormat="1" applyFont="1" applyFill="1" applyBorder="1" applyAlignment="1" applyProtection="1">
      <alignment horizontal="center"/>
      <protection locked="0"/>
    </xf>
    <xf numFmtId="0" fontId="0" fillId="0" borderId="502" xfId="0" applyNumberFormat="1" applyFont="1" applyBorder="1" applyAlignment="1" applyProtection="1">
      <alignment horizontal="center"/>
      <protection locked="0"/>
    </xf>
    <xf numFmtId="0" fontId="0" fillId="0" borderId="51" xfId="0" applyNumberFormat="1" applyFont="1" applyBorder="1" applyAlignment="1" applyProtection="1">
      <alignment horizontal="center"/>
      <protection locked="0"/>
    </xf>
    <xf numFmtId="0" fontId="21" fillId="10" borderId="262" xfId="0" applyNumberFormat="1" applyFont="1" applyFill="1" applyBorder="1" applyAlignment="1" applyProtection="1">
      <alignment horizontal="center"/>
      <protection locked="0"/>
    </xf>
    <xf numFmtId="0" fontId="21" fillId="10" borderId="263" xfId="0" applyNumberFormat="1" applyFont="1" applyFill="1" applyBorder="1" applyAlignment="1" applyProtection="1">
      <alignment horizontal="center"/>
      <protection locked="0"/>
    </xf>
    <xf numFmtId="3" fontId="21" fillId="0" borderId="501" xfId="0" applyNumberFormat="1" applyFont="1" applyBorder="1" applyAlignment="1" applyProtection="1">
      <alignment horizontal="center"/>
      <protection locked="0"/>
    </xf>
    <xf numFmtId="0" fontId="21" fillId="0" borderId="502" xfId="0" applyNumberFormat="1" applyFont="1" applyBorder="1" applyAlignment="1" applyProtection="1">
      <alignment horizontal="center"/>
      <protection locked="0"/>
    </xf>
    <xf numFmtId="0" fontId="21" fillId="0" borderId="51" xfId="0" applyNumberFormat="1" applyFont="1" applyBorder="1" applyAlignment="1" applyProtection="1">
      <alignment horizontal="center"/>
      <protection locked="0"/>
    </xf>
    <xf numFmtId="0" fontId="21" fillId="10" borderId="261" xfId="0" applyNumberFormat="1" applyFont="1" applyFill="1" applyBorder="1" applyAlignment="1" applyProtection="1">
      <protection locked="0"/>
    </xf>
    <xf numFmtId="0" fontId="21" fillId="10" borderId="260" xfId="0" applyNumberFormat="1" applyFont="1" applyFill="1" applyBorder="1" applyAlignment="1" applyProtection="1">
      <protection locked="0"/>
    </xf>
    <xf numFmtId="0" fontId="23" fillId="0" borderId="0" xfId="0" applyNumberFormat="1" applyFont="1" applyAlignment="1" applyProtection="1">
      <alignment horizontal="center"/>
      <protection locked="0"/>
    </xf>
    <xf numFmtId="0" fontId="21" fillId="0" borderId="104" xfId="0" applyNumberFormat="1" applyFont="1" applyFill="1" applyBorder="1" applyAlignment="1" applyProtection="1">
      <alignment horizontal="center"/>
      <protection locked="0"/>
    </xf>
    <xf numFmtId="0" fontId="21" fillId="0" borderId="49" xfId="0" applyNumberFormat="1" applyFont="1" applyBorder="1" applyAlignment="1" applyProtection="1">
      <alignment horizontal="center"/>
      <protection locked="0"/>
    </xf>
    <xf numFmtId="0" fontId="21" fillId="10" borderId="261" xfId="0" quotePrefix="1" applyNumberFormat="1" applyFont="1" applyFill="1" applyBorder="1" applyAlignment="1" applyProtection="1">
      <alignment horizontal="center"/>
      <protection locked="0"/>
    </xf>
    <xf numFmtId="0" fontId="21" fillId="0" borderId="501" xfId="0" quotePrefix="1" applyNumberFormat="1" applyFont="1" applyBorder="1" applyAlignment="1" applyProtection="1">
      <alignment horizontal="center"/>
      <protection locked="0"/>
    </xf>
    <xf numFmtId="0" fontId="21" fillId="0" borderId="251" xfId="0" applyNumberFormat="1" applyFont="1" applyBorder="1" applyAlignment="1" applyProtection="1">
      <alignment horizontal="center" vertical="center" wrapText="1"/>
      <protection locked="0"/>
    </xf>
    <xf numFmtId="0" fontId="21" fillId="0" borderId="470" xfId="0" applyNumberFormat="1" applyFont="1" applyBorder="1" applyAlignment="1" applyProtection="1">
      <alignment horizontal="center" vertical="center" wrapText="1"/>
      <protection locked="0"/>
    </xf>
    <xf numFmtId="0" fontId="0" fillId="0" borderId="505" xfId="0" applyNumberFormat="1" applyFont="1" applyBorder="1" applyAlignment="1" applyProtection="1">
      <alignment horizontal="center" wrapText="1"/>
      <protection locked="0"/>
    </xf>
    <xf numFmtId="0" fontId="21" fillId="0" borderId="501" xfId="0" applyNumberFormat="1" applyFont="1" applyBorder="1" applyAlignment="1" applyProtection="1">
      <alignment horizontal="center"/>
      <protection locked="0"/>
    </xf>
    <xf numFmtId="3" fontId="21" fillId="0" borderId="104" xfId="0" applyNumberFormat="1" applyFont="1" applyBorder="1" applyAlignment="1" applyProtection="1">
      <protection locked="0"/>
    </xf>
    <xf numFmtId="0" fontId="21" fillId="0" borderId="49" xfId="0" applyNumberFormat="1" applyFont="1" applyBorder="1" applyAlignment="1" applyProtection="1">
      <protection locked="0"/>
    </xf>
    <xf numFmtId="0" fontId="21" fillId="0" borderId="502" xfId="0" applyNumberFormat="1" applyFont="1" applyFill="1" applyBorder="1" applyAlignment="1" applyProtection="1">
      <alignment horizontal="center"/>
      <protection locked="0"/>
    </xf>
    <xf numFmtId="3" fontId="21" fillId="0" borderId="104" xfId="0" applyNumberFormat="1" applyFont="1" applyFill="1" applyBorder="1" applyAlignment="1" applyProtection="1">
      <alignment horizontal="center"/>
      <protection locked="0"/>
    </xf>
    <xf numFmtId="38" fontId="21" fillId="10" borderId="503" xfId="10" applyFont="1" applyFill="1" applyBorder="1" applyAlignment="1" applyProtection="1">
      <alignment horizontal="center"/>
      <protection locked="0"/>
    </xf>
    <xf numFmtId="38" fontId="21" fillId="0" borderId="501" xfId="10" applyFont="1" applyFill="1" applyBorder="1" applyAlignment="1" applyProtection="1">
      <alignment horizontal="center"/>
      <protection locked="0"/>
    </xf>
    <xf numFmtId="38" fontId="0" fillId="0" borderId="502" xfId="10" applyFont="1" applyBorder="1" applyAlignment="1" applyProtection="1">
      <alignment horizontal="center"/>
      <protection locked="0"/>
    </xf>
    <xf numFmtId="38" fontId="0" fillId="0" borderId="504" xfId="10" applyFont="1" applyBorder="1" applyAlignment="1" applyProtection="1">
      <alignment horizontal="center"/>
      <protection locked="0"/>
    </xf>
    <xf numFmtId="0" fontId="76" fillId="0" borderId="0" xfId="10" applyNumberFormat="1" applyFont="1" applyAlignment="1" applyProtection="1">
      <protection locked="0"/>
    </xf>
    <xf numFmtId="38" fontId="21" fillId="0" borderId="501" xfId="10" applyFont="1" applyBorder="1" applyAlignment="1" applyProtection="1">
      <alignment horizontal="center"/>
      <protection locked="0"/>
    </xf>
    <xf numFmtId="38" fontId="21" fillId="0" borderId="502" xfId="10" applyFont="1" applyBorder="1" applyAlignment="1" applyProtection="1">
      <alignment horizontal="center"/>
      <protection locked="0"/>
    </xf>
    <xf numFmtId="0" fontId="21" fillId="2" borderId="3" xfId="0" applyNumberFormat="1" applyFont="1" applyFill="1" applyBorder="1" applyAlignment="1" applyProtection="1">
      <alignment horizontal="center"/>
      <protection locked="0"/>
    </xf>
    <xf numFmtId="0" fontId="21" fillId="0" borderId="46" xfId="0" applyNumberFormat="1" applyFont="1" applyBorder="1" applyAlignment="1" applyProtection="1">
      <alignment horizontal="center"/>
      <protection locked="0"/>
    </xf>
    <xf numFmtId="0" fontId="21" fillId="0" borderId="45" xfId="0" applyNumberFormat="1" applyFont="1" applyBorder="1" applyAlignment="1" applyProtection="1">
      <alignment horizontal="center"/>
      <protection locked="0"/>
    </xf>
    <xf numFmtId="0" fontId="21" fillId="2" borderId="46" xfId="0" applyNumberFormat="1" applyFont="1" applyFill="1" applyBorder="1" applyAlignment="1" applyProtection="1">
      <alignment horizontal="center"/>
      <protection locked="0"/>
    </xf>
    <xf numFmtId="0" fontId="21" fillId="2" borderId="45" xfId="0" applyNumberFormat="1" applyFont="1" applyFill="1" applyBorder="1" applyAlignment="1" applyProtection="1">
      <alignment horizontal="center"/>
      <protection locked="0"/>
    </xf>
    <xf numFmtId="0" fontId="21" fillId="0" borderId="501" xfId="0" applyNumberFormat="1" applyFont="1" applyFill="1" applyBorder="1" applyAlignment="1" applyProtection="1">
      <alignment horizontal="center"/>
      <protection locked="0"/>
    </xf>
    <xf numFmtId="0" fontId="21" fillId="10" borderId="262" xfId="0" applyNumberFormat="1" applyFont="1" applyFill="1" applyBorder="1" applyAlignment="1" applyProtection="1">
      <protection locked="0"/>
    </xf>
    <xf numFmtId="0" fontId="21" fillId="10" borderId="263" xfId="0" applyNumberFormat="1" applyFont="1" applyFill="1" applyBorder="1" applyAlignment="1" applyProtection="1">
      <protection locked="0"/>
    </xf>
    <xf numFmtId="0" fontId="21" fillId="0" borderId="501" xfId="0" applyNumberFormat="1" applyFont="1" applyBorder="1" applyAlignment="1" applyProtection="1">
      <protection locked="0"/>
    </xf>
    <xf numFmtId="0" fontId="21" fillId="0" borderId="502" xfId="0" applyNumberFormat="1" applyFont="1" applyBorder="1" applyAlignment="1" applyProtection="1">
      <protection locked="0"/>
    </xf>
    <xf numFmtId="0" fontId="21" fillId="0" borderId="51" xfId="0" applyNumberFormat="1" applyFont="1" applyBorder="1" applyAlignment="1" applyProtection="1">
      <protection locked="0"/>
    </xf>
    <xf numFmtId="0" fontId="21" fillId="0" borderId="504" xfId="0" applyNumberFormat="1" applyFont="1" applyBorder="1" applyAlignment="1" applyProtection="1">
      <alignment horizontal="center"/>
      <protection locked="0"/>
    </xf>
    <xf numFmtId="0" fontId="21" fillId="0" borderId="204" xfId="0" applyNumberFormat="1" applyFont="1" applyBorder="1" applyAlignment="1" applyProtection="1">
      <alignment horizontal="center"/>
      <protection locked="0"/>
    </xf>
    <xf numFmtId="0" fontId="0" fillId="0" borderId="159" xfId="0" applyNumberFormat="1" applyFont="1" applyBorder="1" applyAlignment="1" applyProtection="1">
      <alignment horizontal="center"/>
      <protection locked="0"/>
    </xf>
    <xf numFmtId="0" fontId="0" fillId="0" borderId="43" xfId="0" applyNumberFormat="1" applyFont="1" applyBorder="1" applyAlignment="1" applyProtection="1">
      <alignment horizontal="center"/>
      <protection locked="0"/>
    </xf>
    <xf numFmtId="0" fontId="0" fillId="0" borderId="204" xfId="0" applyNumberFormat="1" applyFont="1" applyBorder="1" applyAlignment="1" applyProtection="1">
      <alignment horizontal="center"/>
      <protection locked="0"/>
    </xf>
    <xf numFmtId="0" fontId="0" fillId="0" borderId="159" xfId="0" applyNumberFormat="1" applyFont="1" applyBorder="1" applyAlignment="1" applyProtection="1">
      <protection locked="0"/>
    </xf>
    <xf numFmtId="0" fontId="0" fillId="0" borderId="483" xfId="0" applyNumberFormat="1" applyFont="1" applyBorder="1" applyAlignment="1" applyProtection="1">
      <protection locked="0"/>
    </xf>
    <xf numFmtId="0" fontId="21" fillId="10" borderId="503" xfId="0" applyNumberFormat="1" applyFont="1" applyFill="1" applyBorder="1" applyAlignment="1" applyProtection="1">
      <alignment horizontal="center"/>
      <protection locked="0"/>
    </xf>
    <xf numFmtId="0" fontId="21" fillId="10" borderId="500" xfId="0" applyNumberFormat="1" applyFont="1" applyFill="1" applyBorder="1" applyAlignment="1" applyProtection="1">
      <alignment horizontal="center"/>
      <protection locked="0"/>
    </xf>
    <xf numFmtId="3" fontId="21" fillId="0" borderId="502" xfId="0" applyNumberFormat="1" applyFont="1" applyBorder="1" applyAlignment="1" applyProtection="1">
      <alignment horizontal="center"/>
      <protection locked="0"/>
    </xf>
    <xf numFmtId="0" fontId="21" fillId="0" borderId="502" xfId="0" quotePrefix="1" applyNumberFormat="1" applyFont="1" applyBorder="1" applyAlignment="1" applyProtection="1">
      <alignment horizontal="center"/>
      <protection locked="0"/>
    </xf>
    <xf numFmtId="0" fontId="21" fillId="0" borderId="501" xfId="0" quotePrefix="1" applyNumberFormat="1" applyFont="1" applyFill="1" applyBorder="1" applyAlignment="1" applyProtection="1">
      <alignment horizontal="center"/>
      <protection locked="0"/>
    </xf>
    <xf numFmtId="0" fontId="0" fillId="0" borderId="504" xfId="0" applyNumberFormat="1" applyFont="1" applyBorder="1" applyAlignment="1" applyProtection="1">
      <alignment horizontal="center"/>
      <protection locked="0"/>
    </xf>
    <xf numFmtId="0" fontId="21" fillId="9" borderId="3" xfId="0" applyNumberFormat="1" applyFont="1" applyFill="1" applyBorder="1" applyAlignment="1" applyProtection="1">
      <alignment horizontal="center"/>
      <protection locked="0"/>
    </xf>
    <xf numFmtId="0" fontId="21" fillId="9" borderId="59" xfId="0" applyNumberFormat="1" applyFont="1" applyFill="1" applyBorder="1" applyAlignment="1" applyProtection="1">
      <alignment horizontal="center"/>
      <protection locked="0"/>
    </xf>
    <xf numFmtId="0" fontId="21" fillId="9" borderId="49" xfId="0" applyNumberFormat="1" applyFont="1" applyFill="1" applyBorder="1" applyAlignment="1" applyProtection="1">
      <alignment horizontal="center"/>
      <protection locked="0"/>
    </xf>
    <xf numFmtId="0" fontId="21" fillId="0" borderId="104" xfId="0" quotePrefix="1" applyNumberFormat="1" applyFont="1" applyFill="1" applyBorder="1" applyAlignment="1" applyProtection="1">
      <alignment horizontal="center"/>
      <protection locked="0"/>
    </xf>
    <xf numFmtId="0" fontId="21" fillId="0" borderId="244" xfId="0" applyNumberFormat="1" applyFont="1" applyBorder="1" applyAlignment="1" applyProtection="1">
      <alignment horizontal="center"/>
      <protection locked="0"/>
    </xf>
    <xf numFmtId="0" fontId="0" fillId="0" borderId="244" xfId="0" applyNumberFormat="1" applyFont="1" applyBorder="1" applyAlignment="1" applyProtection="1">
      <alignment horizontal="center"/>
      <protection locked="0"/>
    </xf>
    <xf numFmtId="0" fontId="21" fillId="6" borderId="46" xfId="0" applyNumberFormat="1" applyFont="1" applyFill="1" applyBorder="1" applyAlignment="1" applyProtection="1">
      <alignment horizontal="center"/>
      <protection locked="0"/>
    </xf>
    <xf numFmtId="0" fontId="0" fillId="0" borderId="45" xfId="0" applyNumberFormat="1" applyFont="1" applyBorder="1" applyAlignment="1" applyProtection="1">
      <alignment horizontal="center"/>
      <protection locked="0"/>
    </xf>
    <xf numFmtId="0" fontId="21" fillId="2" borderId="239" xfId="0" applyNumberFormat="1" applyFont="1" applyFill="1" applyBorder="1" applyAlignment="1" applyProtection="1">
      <alignment horizontal="center"/>
      <protection locked="0"/>
    </xf>
    <xf numFmtId="0" fontId="0" fillId="2" borderId="47" xfId="0" applyNumberFormat="1" applyFont="1" applyFill="1" applyBorder="1" applyAlignment="1" applyProtection="1">
      <alignment horizontal="center"/>
      <protection locked="0"/>
    </xf>
    <xf numFmtId="0" fontId="0" fillId="2" borderId="45" xfId="0" applyNumberFormat="1" applyFont="1" applyFill="1" applyBorder="1" applyAlignment="1" applyProtection="1">
      <alignment horizontal="center"/>
      <protection locked="0"/>
    </xf>
    <xf numFmtId="0" fontId="21" fillId="0" borderId="239" xfId="0" applyNumberFormat="1" applyFont="1" applyFill="1" applyBorder="1" applyAlignment="1" applyProtection="1">
      <alignment horizontal="center"/>
      <protection locked="0"/>
    </xf>
    <xf numFmtId="0" fontId="21" fillId="0" borderId="47" xfId="0" applyNumberFormat="1" applyFont="1" applyFill="1" applyBorder="1" applyAlignment="1" applyProtection="1">
      <alignment horizontal="center"/>
      <protection locked="0"/>
    </xf>
    <xf numFmtId="0" fontId="21" fillId="0" borderId="43" xfId="0" applyNumberFormat="1" applyFont="1" applyBorder="1" applyAlignment="1" applyProtection="1">
      <alignment horizontal="center"/>
      <protection locked="0"/>
    </xf>
    <xf numFmtId="0" fontId="21" fillId="4" borderId="46" xfId="0" applyNumberFormat="1" applyFont="1" applyFill="1" applyBorder="1" applyAlignment="1" applyProtection="1">
      <alignment horizontal="center"/>
      <protection locked="0"/>
    </xf>
    <xf numFmtId="0" fontId="0" fillId="4" borderId="45" xfId="0" applyNumberFormat="1" applyFont="1" applyFill="1" applyBorder="1" applyAlignment="1" applyProtection="1">
      <alignment horizontal="center"/>
      <protection locked="0"/>
    </xf>
    <xf numFmtId="0" fontId="21" fillId="0" borderId="159" xfId="0" applyNumberFormat="1" applyFont="1" applyBorder="1" applyAlignment="1" applyProtection="1">
      <alignment horizontal="center"/>
      <protection locked="0"/>
    </xf>
    <xf numFmtId="0" fontId="21" fillId="10" borderId="239" xfId="0" applyNumberFormat="1" applyFont="1" applyFill="1" applyBorder="1" applyAlignment="1" applyProtection="1">
      <alignment horizontal="center"/>
      <protection locked="0"/>
    </xf>
    <xf numFmtId="0" fontId="21" fillId="10" borderId="47" xfId="0" applyNumberFormat="1" applyFont="1" applyFill="1" applyBorder="1" applyAlignment="1" applyProtection="1">
      <alignment horizontal="center"/>
      <protection locked="0"/>
    </xf>
    <xf numFmtId="0" fontId="21" fillId="4" borderId="45" xfId="0" applyNumberFormat="1" applyFont="1" applyFill="1" applyBorder="1" applyAlignment="1" applyProtection="1">
      <alignment horizontal="center"/>
      <protection locked="0"/>
    </xf>
    <xf numFmtId="0" fontId="21" fillId="7" borderId="46" xfId="0" applyNumberFormat="1" applyFont="1" applyFill="1" applyBorder="1" applyAlignment="1" applyProtection="1">
      <alignment horizontal="center"/>
      <protection locked="0"/>
    </xf>
    <xf numFmtId="0" fontId="21" fillId="7" borderId="183" xfId="0" applyNumberFormat="1" applyFont="1" applyFill="1" applyBorder="1" applyAlignment="1" applyProtection="1">
      <alignment horizontal="center"/>
      <protection locked="0"/>
    </xf>
    <xf numFmtId="0" fontId="21" fillId="0" borderId="44" xfId="0" applyNumberFormat="1" applyFont="1" applyBorder="1" applyAlignment="1" applyProtection="1">
      <alignment horizontal="center"/>
      <protection locked="0"/>
    </xf>
    <xf numFmtId="0" fontId="21" fillId="5" borderId="54" xfId="0" applyNumberFormat="1" applyFont="1" applyFill="1" applyBorder="1" applyAlignment="1" applyProtection="1">
      <alignment horizontal="center"/>
      <protection locked="0"/>
    </xf>
    <xf numFmtId="0" fontId="21" fillId="8" borderId="3" xfId="0" applyNumberFormat="1" applyFont="1" applyFill="1" applyBorder="1" applyAlignment="1" applyProtection="1">
      <alignment horizontal="center"/>
      <protection locked="0"/>
    </xf>
    <xf numFmtId="0" fontId="21" fillId="4" borderId="3" xfId="0" applyNumberFormat="1" applyFont="1" applyFill="1" applyBorder="1" applyAlignment="1" applyProtection="1">
      <alignment horizontal="center"/>
      <protection locked="0"/>
    </xf>
    <xf numFmtId="0" fontId="21" fillId="5" borderId="46" xfId="0" applyNumberFormat="1" applyFont="1" applyFill="1" applyBorder="1" applyAlignment="1" applyProtection="1">
      <alignment horizontal="center"/>
      <protection locked="0"/>
    </xf>
    <xf numFmtId="0" fontId="0" fillId="5" borderId="183" xfId="0" applyNumberFormat="1" applyFont="1" applyFill="1" applyBorder="1" applyAlignment="1" applyProtection="1">
      <alignment horizontal="center"/>
      <protection locked="0"/>
    </xf>
    <xf numFmtId="0" fontId="0" fillId="0" borderId="183" xfId="0" applyNumberFormat="1" applyFont="1" applyBorder="1" applyAlignment="1" applyProtection="1">
      <alignment horizontal="center"/>
      <protection locked="0"/>
    </xf>
    <xf numFmtId="0" fontId="21" fillId="7" borderId="45" xfId="0" applyNumberFormat="1" applyFont="1" applyFill="1" applyBorder="1" applyAlignment="1" applyProtection="1">
      <alignment horizontal="center"/>
      <protection locked="0"/>
    </xf>
    <xf numFmtId="0" fontId="21" fillId="0" borderId="183" xfId="0" applyNumberFormat="1" applyFont="1" applyBorder="1" applyAlignment="1" applyProtection="1">
      <alignment horizontal="center"/>
      <protection locked="0"/>
    </xf>
    <xf numFmtId="0" fontId="21" fillId="9" borderId="46" xfId="0" applyNumberFormat="1" applyFont="1" applyFill="1" applyBorder="1" applyAlignment="1" applyProtection="1">
      <alignment horizontal="center"/>
      <protection locked="0"/>
    </xf>
    <xf numFmtId="0" fontId="8" fillId="9" borderId="45" xfId="0" applyNumberFormat="1" applyFont="1" applyFill="1" applyBorder="1" applyAlignment="1" applyProtection="1">
      <alignment horizontal="center"/>
      <protection locked="0"/>
    </xf>
    <xf numFmtId="0" fontId="0" fillId="10" borderId="260" xfId="0" applyNumberFormat="1" applyFont="1" applyFill="1" applyBorder="1" applyAlignment="1" applyProtection="1">
      <protection locked="0"/>
    </xf>
    <xf numFmtId="38" fontId="21" fillId="0" borderId="502" xfId="10" applyFont="1" applyFill="1" applyBorder="1" applyAlignment="1" applyProtection="1">
      <alignment horizontal="center"/>
      <protection locked="0"/>
    </xf>
    <xf numFmtId="38" fontId="21" fillId="0" borderId="51" xfId="10" applyFont="1" applyFill="1" applyBorder="1" applyAlignment="1" applyProtection="1">
      <alignment horizontal="center"/>
      <protection locked="0"/>
    </xf>
    <xf numFmtId="0" fontId="21" fillId="0" borderId="2" xfId="0" applyNumberFormat="1" applyFont="1" applyBorder="1" applyAlignment="1" applyProtection="1">
      <alignment horizontal="center"/>
      <protection locked="0"/>
    </xf>
    <xf numFmtId="0" fontId="0" fillId="10" borderId="500" xfId="0" applyNumberFormat="1" applyFont="1" applyFill="1" applyBorder="1" applyAlignment="1" applyProtection="1">
      <protection locked="0"/>
    </xf>
    <xf numFmtId="38" fontId="21" fillId="10" borderId="106" xfId="10" applyFont="1" applyFill="1" applyBorder="1" applyAlignment="1" applyProtection="1">
      <alignment horizontal="center"/>
      <protection locked="0"/>
    </xf>
    <xf numFmtId="0" fontId="0" fillId="10" borderId="506" xfId="0" applyNumberFormat="1" applyFont="1" applyFill="1" applyBorder="1" applyAlignment="1" applyProtection="1">
      <protection locked="0"/>
    </xf>
    <xf numFmtId="38" fontId="21" fillId="10" borderId="506" xfId="10" applyFont="1" applyFill="1" applyBorder="1" applyAlignment="1" applyProtection="1">
      <alignment horizontal="center"/>
      <protection locked="0"/>
    </xf>
    <xf numFmtId="0" fontId="21" fillId="13" borderId="46" xfId="0" applyNumberFormat="1" applyFont="1" applyFill="1" applyBorder="1" applyAlignment="1" applyProtection="1">
      <alignment horizontal="center"/>
      <protection locked="0"/>
    </xf>
    <xf numFmtId="0" fontId="21" fillId="13" borderId="183" xfId="0" applyNumberFormat="1" applyFont="1" applyFill="1" applyBorder="1" applyAlignment="1" applyProtection="1">
      <alignment horizontal="center"/>
      <protection locked="0"/>
    </xf>
    <xf numFmtId="0" fontId="21" fillId="13" borderId="45" xfId="0" applyNumberFormat="1" applyFont="1" applyFill="1" applyBorder="1" applyAlignment="1" applyProtection="1">
      <alignment horizontal="center"/>
      <protection locked="0"/>
    </xf>
    <xf numFmtId="0" fontId="0" fillId="0" borderId="483" xfId="0" applyNumberFormat="1" applyFont="1" applyBorder="1" applyAlignment="1" applyProtection="1">
      <alignment horizontal="center"/>
      <protection locked="0"/>
    </xf>
    <xf numFmtId="38" fontId="33" fillId="0" borderId="501" xfId="10" applyFont="1" applyFill="1" applyBorder="1" applyAlignment="1" applyProtection="1">
      <alignment horizontal="center"/>
      <protection locked="0"/>
    </xf>
    <xf numFmtId="38" fontId="33" fillId="0" borderId="502" xfId="10" applyFont="1" applyFill="1" applyBorder="1" applyAlignment="1" applyProtection="1">
      <alignment horizontal="center"/>
      <protection locked="0"/>
    </xf>
    <xf numFmtId="38" fontId="33" fillId="0" borderId="51" xfId="10" applyFont="1" applyFill="1" applyBorder="1" applyAlignment="1" applyProtection="1">
      <alignment horizontal="center"/>
      <protection locked="0"/>
    </xf>
    <xf numFmtId="38" fontId="21" fillId="0" borderId="504" xfId="10" applyFont="1" applyFill="1" applyBorder="1" applyAlignment="1" applyProtection="1">
      <alignment horizontal="center"/>
      <protection locked="0"/>
    </xf>
    <xf numFmtId="0" fontId="0" fillId="10" borderId="263" xfId="0" applyNumberFormat="1" applyFont="1" applyFill="1" applyBorder="1" applyAlignment="1" applyProtection="1">
      <protection locked="0"/>
    </xf>
    <xf numFmtId="38" fontId="21" fillId="10" borderId="507" xfId="10" applyFont="1" applyFill="1" applyBorder="1" applyAlignment="1" applyProtection="1">
      <alignment horizontal="center"/>
      <protection locked="0"/>
    </xf>
    <xf numFmtId="0" fontId="0" fillId="10" borderId="507" xfId="0" applyNumberFormat="1" applyFont="1" applyFill="1" applyBorder="1" applyAlignment="1" applyProtection="1">
      <protection locked="0"/>
    </xf>
    <xf numFmtId="38" fontId="21" fillId="0" borderId="51" xfId="10" applyFont="1" applyBorder="1" applyAlignment="1" applyProtection="1">
      <alignment horizontal="center"/>
      <protection locked="0"/>
    </xf>
    <xf numFmtId="0" fontId="0" fillId="10" borderId="503" xfId="0" applyNumberFormat="1" applyFont="1" applyFill="1" applyBorder="1" applyAlignment="1" applyProtection="1">
      <protection locked="0"/>
    </xf>
  </cellXfs>
  <cellStyles count="21">
    <cellStyle name="Calc Currency (0)" xfId="1" xr:uid="{00000000-0005-0000-0000-000000000000}"/>
    <cellStyle name="Grey" xfId="2" xr:uid="{00000000-0005-0000-0000-000001000000}"/>
    <cellStyle name="Header1" xfId="3" xr:uid="{00000000-0005-0000-0000-000002000000}"/>
    <cellStyle name="Header2" xfId="4" xr:uid="{00000000-0005-0000-0000-000003000000}"/>
    <cellStyle name="Input [yellow]" xfId="5" xr:uid="{00000000-0005-0000-0000-000004000000}"/>
    <cellStyle name="Normal - Style1" xfId="6" xr:uid="{00000000-0005-0000-0000-000005000000}"/>
    <cellStyle name="Normal_#18-Internet" xfId="7" xr:uid="{00000000-0005-0000-0000-000006000000}"/>
    <cellStyle name="Percent [2]" xfId="8" xr:uid="{00000000-0005-0000-0000-000007000000}"/>
    <cellStyle name="パーセント" xfId="9" builtinId="5"/>
    <cellStyle name="桁区切り" xfId="10" builtinId="6"/>
    <cellStyle name="標準" xfId="0" builtinId="0"/>
    <cellStyle name="標準_ﾌﾞﾛｯｸ" xfId="11" xr:uid="{00000000-0005-0000-0000-00000B000000}"/>
    <cellStyle name="標準_機能別" xfId="12" xr:uid="{00000000-0005-0000-0000-00000C000000}"/>
    <cellStyle name="標準_係数" xfId="13" xr:uid="{00000000-0005-0000-0000-00000D000000}"/>
    <cellStyle name="標準_説明書" xfId="14" xr:uid="{00000000-0005-0000-0000-00000E000000}"/>
    <cellStyle name="標準_総括表" xfId="15" xr:uid="{00000000-0005-0000-0000-00000F000000}"/>
    <cellStyle name="標準_展開1" xfId="16" xr:uid="{00000000-0005-0000-0000-000010000000}"/>
    <cellStyle name="標準_展開2" xfId="17" xr:uid="{00000000-0005-0000-0000-000011000000}"/>
    <cellStyle name="標準_投資額" xfId="18" xr:uid="{00000000-0005-0000-0000-000012000000}"/>
    <cellStyle name="標準_二部用入力" xfId="19" xr:uid="{00000000-0005-0000-0000-000013000000}"/>
    <cellStyle name="標準_負荷調用ﾃﾞｰﾀ" xfId="20" xr:uid="{00000000-0005-0000-0000-000014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 Id="rId8" Type="http://schemas.openxmlformats.org/officeDocument/2006/relationships/worksheet" Target="worksheets/sheet8.xml"/></Relationships>
</file>

<file path=xl/drawings/drawing1.xml><?xml version="1.0" encoding="utf-8"?>
<xdr:wsDr xmlns:xdr="http://schemas.openxmlformats.org/drawingml/2006/spreadsheetDrawing" xmlns:a="http://schemas.openxmlformats.org/drawingml/2006/main">
  <xdr:twoCellAnchor>
    <xdr:from>
      <xdr:col>1</xdr:col>
      <xdr:colOff>238125</xdr:colOff>
      <xdr:row>1</xdr:row>
      <xdr:rowOff>57150</xdr:rowOff>
    </xdr:from>
    <xdr:to>
      <xdr:col>1</xdr:col>
      <xdr:colOff>809625</xdr:colOff>
      <xdr:row>1</xdr:row>
      <xdr:rowOff>228600</xdr:rowOff>
    </xdr:to>
    <xdr:sp macro="" textlink="">
      <xdr:nvSpPr>
        <xdr:cNvPr id="5545" name="Rectangle 6">
          <a:extLst>
            <a:ext uri="{FF2B5EF4-FFF2-40B4-BE49-F238E27FC236}">
              <a16:creationId xmlns:a16="http://schemas.microsoft.com/office/drawing/2014/main" id="{8D55390C-3BB6-4B0D-A025-7D1049F5670E}"/>
            </a:ext>
          </a:extLst>
        </xdr:cNvPr>
        <xdr:cNvSpPr>
          <a:spLocks noChangeArrowheads="1"/>
        </xdr:cNvSpPr>
      </xdr:nvSpPr>
      <xdr:spPr bwMode="auto">
        <a:xfrm>
          <a:off x="2524125" y="295275"/>
          <a:ext cx="571500" cy="171450"/>
        </a:xfrm>
        <a:prstGeom prst="rect">
          <a:avLst/>
        </a:prstGeom>
        <a:solidFill>
          <a:srgbClr val="FFFF99"/>
        </a:solidFill>
        <a:ln w="9525" algn="ctr">
          <a:solidFill>
            <a:srgbClr val="000000"/>
          </a:solidFill>
          <a:miter lim="800000"/>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257175</xdr:colOff>
      <xdr:row>12</xdr:row>
      <xdr:rowOff>123825</xdr:rowOff>
    </xdr:from>
    <xdr:to>
      <xdr:col>8</xdr:col>
      <xdr:colOff>857250</xdr:colOff>
      <xdr:row>12</xdr:row>
      <xdr:rowOff>123825</xdr:rowOff>
    </xdr:to>
    <xdr:sp macro="" textlink="">
      <xdr:nvSpPr>
        <xdr:cNvPr id="43039" name="Line 2">
          <a:extLst>
            <a:ext uri="{FF2B5EF4-FFF2-40B4-BE49-F238E27FC236}">
              <a16:creationId xmlns:a16="http://schemas.microsoft.com/office/drawing/2014/main" id="{A756760E-0299-44F6-9175-E470B4C075F9}"/>
            </a:ext>
          </a:extLst>
        </xdr:cNvPr>
        <xdr:cNvSpPr>
          <a:spLocks noChangeShapeType="1"/>
        </xdr:cNvSpPr>
      </xdr:nvSpPr>
      <xdr:spPr bwMode="auto">
        <a:xfrm>
          <a:off x="9991725" y="2962275"/>
          <a:ext cx="600075" cy="0"/>
        </a:xfrm>
        <a:prstGeom prst="line">
          <a:avLst/>
        </a:prstGeom>
        <a:noFill/>
        <a:ln w="2857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8</xdr:col>
      <xdr:colOff>0</xdr:colOff>
      <xdr:row>13</xdr:row>
      <xdr:rowOff>0</xdr:rowOff>
    </xdr:from>
    <xdr:to>
      <xdr:col>9</xdr:col>
      <xdr:colOff>0</xdr:colOff>
      <xdr:row>23</xdr:row>
      <xdr:rowOff>9525</xdr:rowOff>
    </xdr:to>
    <xdr:sp macro="" textlink="">
      <xdr:nvSpPr>
        <xdr:cNvPr id="43040" name="Line 150">
          <a:extLst>
            <a:ext uri="{FF2B5EF4-FFF2-40B4-BE49-F238E27FC236}">
              <a16:creationId xmlns:a16="http://schemas.microsoft.com/office/drawing/2014/main" id="{E767C7EF-0CCC-4CCA-8215-6213EF093FB2}"/>
            </a:ext>
          </a:extLst>
        </xdr:cNvPr>
        <xdr:cNvSpPr>
          <a:spLocks noChangeShapeType="1"/>
        </xdr:cNvSpPr>
      </xdr:nvSpPr>
      <xdr:spPr bwMode="auto">
        <a:xfrm flipH="1">
          <a:off x="9734550" y="3076575"/>
          <a:ext cx="1123950" cy="25241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0</xdr:col>
      <xdr:colOff>257175</xdr:colOff>
      <xdr:row>3</xdr:row>
      <xdr:rowOff>38100</xdr:rowOff>
    </xdr:from>
    <xdr:to>
      <xdr:col>0</xdr:col>
      <xdr:colOff>704850</xdr:colOff>
      <xdr:row>3</xdr:row>
      <xdr:rowOff>219075</xdr:rowOff>
    </xdr:to>
    <xdr:sp macro="" textlink="">
      <xdr:nvSpPr>
        <xdr:cNvPr id="43041" name="Rectangle 152">
          <a:extLst>
            <a:ext uri="{FF2B5EF4-FFF2-40B4-BE49-F238E27FC236}">
              <a16:creationId xmlns:a16="http://schemas.microsoft.com/office/drawing/2014/main" id="{272F91DA-9FDB-43A4-ADA6-B31F1110E7B2}"/>
            </a:ext>
          </a:extLst>
        </xdr:cNvPr>
        <xdr:cNvSpPr>
          <a:spLocks noChangeArrowheads="1"/>
        </xdr:cNvSpPr>
      </xdr:nvSpPr>
      <xdr:spPr bwMode="auto">
        <a:xfrm>
          <a:off x="257175" y="781050"/>
          <a:ext cx="447675" cy="180975"/>
        </a:xfrm>
        <a:prstGeom prst="rect">
          <a:avLst/>
        </a:prstGeom>
        <a:solidFill>
          <a:srgbClr val="CCFFCC"/>
        </a:solidFill>
        <a:ln w="9525" algn="ctr">
          <a:solidFill>
            <a:srgbClr val="000000"/>
          </a:solidFill>
          <a:miter lim="800000"/>
          <a:headEnd/>
          <a:tailEnd/>
        </a:ln>
      </xdr:spPr>
    </xdr:sp>
    <xdr:clientData/>
  </xdr:twoCellAnchor>
  <xdr:twoCellAnchor>
    <xdr:from>
      <xdr:col>0</xdr:col>
      <xdr:colOff>266700</xdr:colOff>
      <xdr:row>2</xdr:row>
      <xdr:rowOff>66675</xdr:rowOff>
    </xdr:from>
    <xdr:to>
      <xdr:col>0</xdr:col>
      <xdr:colOff>714375</xdr:colOff>
      <xdr:row>2</xdr:row>
      <xdr:rowOff>238125</xdr:rowOff>
    </xdr:to>
    <xdr:sp macro="" textlink="">
      <xdr:nvSpPr>
        <xdr:cNvPr id="43042" name="Rectangle 153">
          <a:extLst>
            <a:ext uri="{FF2B5EF4-FFF2-40B4-BE49-F238E27FC236}">
              <a16:creationId xmlns:a16="http://schemas.microsoft.com/office/drawing/2014/main" id="{317E5BF8-1539-4F35-82F8-873A3D0897B0}"/>
            </a:ext>
          </a:extLst>
        </xdr:cNvPr>
        <xdr:cNvSpPr>
          <a:spLocks noChangeArrowheads="1"/>
        </xdr:cNvSpPr>
      </xdr:nvSpPr>
      <xdr:spPr bwMode="auto">
        <a:xfrm>
          <a:off x="266700" y="561975"/>
          <a:ext cx="447675" cy="171450"/>
        </a:xfrm>
        <a:prstGeom prst="rect">
          <a:avLst/>
        </a:prstGeom>
        <a:solidFill>
          <a:srgbClr val="FFFF99"/>
        </a:solidFill>
        <a:ln w="9525" algn="ctr">
          <a:solidFill>
            <a:srgbClr val="000000"/>
          </a:solidFill>
          <a:miter lim="800000"/>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161925</xdr:colOff>
      <xdr:row>24</xdr:row>
      <xdr:rowOff>0</xdr:rowOff>
    </xdr:from>
    <xdr:to>
      <xdr:col>4</xdr:col>
      <xdr:colOff>0</xdr:colOff>
      <xdr:row>24</xdr:row>
      <xdr:rowOff>0</xdr:rowOff>
    </xdr:to>
    <xdr:sp macro="" textlink="">
      <xdr:nvSpPr>
        <xdr:cNvPr id="14203" name="Line 1">
          <a:extLst>
            <a:ext uri="{FF2B5EF4-FFF2-40B4-BE49-F238E27FC236}">
              <a16:creationId xmlns:a16="http://schemas.microsoft.com/office/drawing/2014/main" id="{130DC0D8-6DFF-4227-B1A9-39D31BF28EF8}"/>
            </a:ext>
          </a:extLst>
        </xdr:cNvPr>
        <xdr:cNvSpPr>
          <a:spLocks noChangeShapeType="1"/>
        </xdr:cNvSpPr>
      </xdr:nvSpPr>
      <xdr:spPr bwMode="auto">
        <a:xfrm>
          <a:off x="1019175" y="4800600"/>
          <a:ext cx="9620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161925</xdr:colOff>
      <xdr:row>24</xdr:row>
      <xdr:rowOff>0</xdr:rowOff>
    </xdr:from>
    <xdr:to>
      <xdr:col>4</xdr:col>
      <xdr:colOff>0</xdr:colOff>
      <xdr:row>24</xdr:row>
      <xdr:rowOff>0</xdr:rowOff>
    </xdr:to>
    <xdr:sp macro="" textlink="">
      <xdr:nvSpPr>
        <xdr:cNvPr id="14204" name="Line 15">
          <a:extLst>
            <a:ext uri="{FF2B5EF4-FFF2-40B4-BE49-F238E27FC236}">
              <a16:creationId xmlns:a16="http://schemas.microsoft.com/office/drawing/2014/main" id="{12F279DB-D24D-4A05-90B0-9356BAAF41AE}"/>
            </a:ext>
          </a:extLst>
        </xdr:cNvPr>
        <xdr:cNvSpPr>
          <a:spLocks noChangeShapeType="1"/>
        </xdr:cNvSpPr>
      </xdr:nvSpPr>
      <xdr:spPr bwMode="auto">
        <a:xfrm>
          <a:off x="1019175" y="4800600"/>
          <a:ext cx="9620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161925</xdr:colOff>
      <xdr:row>24</xdr:row>
      <xdr:rowOff>0</xdr:rowOff>
    </xdr:from>
    <xdr:to>
      <xdr:col>4</xdr:col>
      <xdr:colOff>0</xdr:colOff>
      <xdr:row>24</xdr:row>
      <xdr:rowOff>0</xdr:rowOff>
    </xdr:to>
    <xdr:sp macro="" textlink="">
      <xdr:nvSpPr>
        <xdr:cNvPr id="14205" name="Line 16">
          <a:extLst>
            <a:ext uri="{FF2B5EF4-FFF2-40B4-BE49-F238E27FC236}">
              <a16:creationId xmlns:a16="http://schemas.microsoft.com/office/drawing/2014/main" id="{E06A673A-D4F8-494C-BA9A-4B6BCB2865A1}"/>
            </a:ext>
          </a:extLst>
        </xdr:cNvPr>
        <xdr:cNvSpPr>
          <a:spLocks noChangeShapeType="1"/>
        </xdr:cNvSpPr>
      </xdr:nvSpPr>
      <xdr:spPr bwMode="auto">
        <a:xfrm>
          <a:off x="1019175" y="4800600"/>
          <a:ext cx="9620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152400</xdr:colOff>
      <xdr:row>51</xdr:row>
      <xdr:rowOff>76200</xdr:rowOff>
    </xdr:from>
    <xdr:to>
      <xdr:col>8</xdr:col>
      <xdr:colOff>695325</xdr:colOff>
      <xdr:row>52</xdr:row>
      <xdr:rowOff>0</xdr:rowOff>
    </xdr:to>
    <xdr:sp macro="" textlink="">
      <xdr:nvSpPr>
        <xdr:cNvPr id="14206" name="Rectangle 17">
          <a:extLst>
            <a:ext uri="{FF2B5EF4-FFF2-40B4-BE49-F238E27FC236}">
              <a16:creationId xmlns:a16="http://schemas.microsoft.com/office/drawing/2014/main" id="{CA1F82FE-C893-42ED-BB66-04DDE1830AFC}"/>
            </a:ext>
          </a:extLst>
        </xdr:cNvPr>
        <xdr:cNvSpPr>
          <a:spLocks noChangeArrowheads="1"/>
        </xdr:cNvSpPr>
      </xdr:nvSpPr>
      <xdr:spPr bwMode="auto">
        <a:xfrm>
          <a:off x="6591300" y="11201400"/>
          <a:ext cx="542925" cy="0"/>
        </a:xfrm>
        <a:prstGeom prst="rect">
          <a:avLst/>
        </a:prstGeom>
        <a:solidFill>
          <a:srgbClr val="FFFF99"/>
        </a:solidFill>
        <a:ln w="9525" algn="ctr">
          <a:solidFill>
            <a:srgbClr val="000000"/>
          </a:solidFill>
          <a:miter lim="800000"/>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9525</xdr:colOff>
      <xdr:row>5</xdr:row>
      <xdr:rowOff>9525</xdr:rowOff>
    </xdr:from>
    <xdr:to>
      <xdr:col>1</xdr:col>
      <xdr:colOff>542925</xdr:colOff>
      <xdr:row>5</xdr:row>
      <xdr:rowOff>263715</xdr:rowOff>
    </xdr:to>
    <xdr:sp macro="" textlink="">
      <xdr:nvSpPr>
        <xdr:cNvPr id="6188" name="Text Box 44">
          <a:extLst>
            <a:ext uri="{FF2B5EF4-FFF2-40B4-BE49-F238E27FC236}">
              <a16:creationId xmlns:a16="http://schemas.microsoft.com/office/drawing/2014/main" id="{4BFB6947-E515-4549-AAF8-132EC2085FF8}"/>
            </a:ext>
          </a:extLst>
        </xdr:cNvPr>
        <xdr:cNvSpPr txBox="1">
          <a:spLocks noChangeArrowheads="1"/>
        </xdr:cNvSpPr>
      </xdr:nvSpPr>
      <xdr:spPr bwMode="auto">
        <a:xfrm>
          <a:off x="352425" y="1533525"/>
          <a:ext cx="533400" cy="257175"/>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1200" b="0" i="0" u="none" strike="noStrike" baseline="0">
              <a:solidFill>
                <a:srgbClr val="000000"/>
              </a:solidFill>
              <a:latin typeface="ＭＳ 明朝"/>
              <a:ea typeface="ＭＳ 明朝"/>
            </a:rPr>
            <a:t>(A)</a:t>
          </a:r>
        </a:p>
      </xdr:txBody>
    </xdr:sp>
    <xdr:clientData/>
  </xdr:twoCellAnchor>
  <xdr:twoCellAnchor>
    <xdr:from>
      <xdr:col>3</xdr:col>
      <xdr:colOff>9525</xdr:colOff>
      <xdr:row>5</xdr:row>
      <xdr:rowOff>0</xdr:rowOff>
    </xdr:from>
    <xdr:to>
      <xdr:col>3</xdr:col>
      <xdr:colOff>542925</xdr:colOff>
      <xdr:row>5</xdr:row>
      <xdr:rowOff>257175</xdr:rowOff>
    </xdr:to>
    <xdr:sp macro="" textlink="">
      <xdr:nvSpPr>
        <xdr:cNvPr id="6189" name="Text Box 45">
          <a:extLst>
            <a:ext uri="{FF2B5EF4-FFF2-40B4-BE49-F238E27FC236}">
              <a16:creationId xmlns:a16="http://schemas.microsoft.com/office/drawing/2014/main" id="{70360A62-9155-4F97-B599-476C5B022DF5}"/>
            </a:ext>
          </a:extLst>
        </xdr:cNvPr>
        <xdr:cNvSpPr txBox="1">
          <a:spLocks noChangeArrowheads="1"/>
        </xdr:cNvSpPr>
      </xdr:nvSpPr>
      <xdr:spPr bwMode="auto">
        <a:xfrm>
          <a:off x="2505075" y="1524000"/>
          <a:ext cx="533400" cy="257175"/>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1200" b="0" i="0" u="none" strike="noStrike" baseline="0">
              <a:solidFill>
                <a:srgbClr val="000000"/>
              </a:solidFill>
              <a:latin typeface="ＭＳ 明朝"/>
              <a:ea typeface="ＭＳ 明朝"/>
            </a:rPr>
            <a:t>(c1)</a:t>
          </a:r>
        </a:p>
      </xdr:txBody>
    </xdr:sp>
    <xdr:clientData/>
  </xdr:twoCellAnchor>
  <xdr:twoCellAnchor>
    <xdr:from>
      <xdr:col>6</xdr:col>
      <xdr:colOff>0</xdr:colOff>
      <xdr:row>5</xdr:row>
      <xdr:rowOff>0</xdr:rowOff>
    </xdr:from>
    <xdr:to>
      <xdr:col>6</xdr:col>
      <xdr:colOff>533400</xdr:colOff>
      <xdr:row>5</xdr:row>
      <xdr:rowOff>257175</xdr:rowOff>
    </xdr:to>
    <xdr:sp macro="" textlink="">
      <xdr:nvSpPr>
        <xdr:cNvPr id="6190" name="Text Box 46">
          <a:extLst>
            <a:ext uri="{FF2B5EF4-FFF2-40B4-BE49-F238E27FC236}">
              <a16:creationId xmlns:a16="http://schemas.microsoft.com/office/drawing/2014/main" id="{0B6C4464-19D9-46D7-B38F-4458D0176AFC}"/>
            </a:ext>
          </a:extLst>
        </xdr:cNvPr>
        <xdr:cNvSpPr txBox="1">
          <a:spLocks noChangeArrowheads="1"/>
        </xdr:cNvSpPr>
      </xdr:nvSpPr>
      <xdr:spPr bwMode="auto">
        <a:xfrm>
          <a:off x="5000625" y="1524000"/>
          <a:ext cx="533400" cy="257175"/>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1200" b="0" i="0" u="none" strike="noStrike" baseline="0">
              <a:solidFill>
                <a:srgbClr val="000000"/>
              </a:solidFill>
              <a:latin typeface="ＭＳ 明朝"/>
              <a:ea typeface="ＭＳ 明朝"/>
            </a:rPr>
            <a:t>(c2)</a:t>
          </a:r>
        </a:p>
      </xdr:txBody>
    </xdr:sp>
    <xdr:clientData/>
  </xdr:twoCellAnchor>
  <xdr:twoCellAnchor>
    <xdr:from>
      <xdr:col>1</xdr:col>
      <xdr:colOff>0</xdr:colOff>
      <xdr:row>8</xdr:row>
      <xdr:rowOff>9525</xdr:rowOff>
    </xdr:from>
    <xdr:to>
      <xdr:col>1</xdr:col>
      <xdr:colOff>533400</xdr:colOff>
      <xdr:row>8</xdr:row>
      <xdr:rowOff>225646</xdr:rowOff>
    </xdr:to>
    <xdr:sp macro="" textlink="">
      <xdr:nvSpPr>
        <xdr:cNvPr id="6193" name="Text Box 49">
          <a:extLst>
            <a:ext uri="{FF2B5EF4-FFF2-40B4-BE49-F238E27FC236}">
              <a16:creationId xmlns:a16="http://schemas.microsoft.com/office/drawing/2014/main" id="{4E3D3870-DDE2-46A0-9E50-E5FF759DB719}"/>
            </a:ext>
          </a:extLst>
        </xdr:cNvPr>
        <xdr:cNvSpPr txBox="1">
          <a:spLocks noChangeArrowheads="1"/>
        </xdr:cNvSpPr>
      </xdr:nvSpPr>
      <xdr:spPr bwMode="auto">
        <a:xfrm>
          <a:off x="342900" y="2447925"/>
          <a:ext cx="533400" cy="219075"/>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1200" b="0" i="0" u="none" strike="noStrike" baseline="0">
              <a:solidFill>
                <a:srgbClr val="000000"/>
              </a:solidFill>
              <a:latin typeface="ＭＳ 明朝"/>
              <a:ea typeface="ＭＳ 明朝"/>
            </a:rPr>
            <a:t>(c3)</a:t>
          </a:r>
        </a:p>
      </xdr:txBody>
    </xdr:sp>
    <xdr:clientData/>
  </xdr:twoCellAnchor>
  <xdr:twoCellAnchor>
    <xdr:from>
      <xdr:col>3</xdr:col>
      <xdr:colOff>0</xdr:colOff>
      <xdr:row>8</xdr:row>
      <xdr:rowOff>0</xdr:rowOff>
    </xdr:from>
    <xdr:to>
      <xdr:col>3</xdr:col>
      <xdr:colOff>533400</xdr:colOff>
      <xdr:row>8</xdr:row>
      <xdr:rowOff>219075</xdr:rowOff>
    </xdr:to>
    <xdr:sp macro="" textlink="">
      <xdr:nvSpPr>
        <xdr:cNvPr id="6194" name="Text Box 50">
          <a:extLst>
            <a:ext uri="{FF2B5EF4-FFF2-40B4-BE49-F238E27FC236}">
              <a16:creationId xmlns:a16="http://schemas.microsoft.com/office/drawing/2014/main" id="{F7A85529-0768-451E-970C-ED74E7C62796}"/>
            </a:ext>
          </a:extLst>
        </xdr:cNvPr>
        <xdr:cNvSpPr txBox="1">
          <a:spLocks noChangeArrowheads="1"/>
        </xdr:cNvSpPr>
      </xdr:nvSpPr>
      <xdr:spPr bwMode="auto">
        <a:xfrm>
          <a:off x="2495550" y="2438400"/>
          <a:ext cx="533400" cy="219075"/>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1200" b="0" i="0" u="none" strike="noStrike" baseline="0">
              <a:solidFill>
                <a:srgbClr val="000000"/>
              </a:solidFill>
              <a:latin typeface="ＭＳ 明朝"/>
              <a:ea typeface="ＭＳ 明朝"/>
            </a:rPr>
            <a:t>(c2)</a:t>
          </a:r>
        </a:p>
      </xdr:txBody>
    </xdr:sp>
    <xdr:clientData/>
  </xdr:twoCellAnchor>
  <xdr:twoCellAnchor>
    <xdr:from>
      <xdr:col>6</xdr:col>
      <xdr:colOff>0</xdr:colOff>
      <xdr:row>8</xdr:row>
      <xdr:rowOff>0</xdr:rowOff>
    </xdr:from>
    <xdr:to>
      <xdr:col>6</xdr:col>
      <xdr:colOff>533400</xdr:colOff>
      <xdr:row>8</xdr:row>
      <xdr:rowOff>219075</xdr:rowOff>
    </xdr:to>
    <xdr:sp macro="" textlink="">
      <xdr:nvSpPr>
        <xdr:cNvPr id="6195" name="Text Box 51">
          <a:extLst>
            <a:ext uri="{FF2B5EF4-FFF2-40B4-BE49-F238E27FC236}">
              <a16:creationId xmlns:a16="http://schemas.microsoft.com/office/drawing/2014/main" id="{E90B62ED-62CE-4048-91F4-E952A739558C}"/>
            </a:ext>
          </a:extLst>
        </xdr:cNvPr>
        <xdr:cNvSpPr txBox="1">
          <a:spLocks noChangeArrowheads="1"/>
        </xdr:cNvSpPr>
      </xdr:nvSpPr>
      <xdr:spPr bwMode="auto">
        <a:xfrm>
          <a:off x="5000625" y="2438400"/>
          <a:ext cx="533400" cy="219075"/>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1200" b="0" i="0" u="none" strike="noStrike" baseline="0">
              <a:solidFill>
                <a:srgbClr val="000000"/>
              </a:solidFill>
              <a:latin typeface="ＭＳ 明朝"/>
              <a:ea typeface="ＭＳ 明朝"/>
            </a:rPr>
            <a:t>(C)</a:t>
          </a:r>
        </a:p>
      </xdr:txBody>
    </xdr:sp>
    <xdr:clientData/>
  </xdr:twoCellAnchor>
  <xdr:twoCellAnchor>
    <xdr:from>
      <xdr:col>1</xdr:col>
      <xdr:colOff>3175</xdr:colOff>
      <xdr:row>12</xdr:row>
      <xdr:rowOff>12700</xdr:rowOff>
    </xdr:from>
    <xdr:to>
      <xdr:col>1</xdr:col>
      <xdr:colOff>539787</xdr:colOff>
      <xdr:row>12</xdr:row>
      <xdr:rowOff>238218</xdr:rowOff>
    </xdr:to>
    <xdr:sp macro="" textlink="">
      <xdr:nvSpPr>
        <xdr:cNvPr id="6202" name="Text Box 58">
          <a:extLst>
            <a:ext uri="{FF2B5EF4-FFF2-40B4-BE49-F238E27FC236}">
              <a16:creationId xmlns:a16="http://schemas.microsoft.com/office/drawing/2014/main" id="{309326DD-A362-4D85-B5E4-3288E7F51C21}"/>
            </a:ext>
          </a:extLst>
        </xdr:cNvPr>
        <xdr:cNvSpPr txBox="1">
          <a:spLocks noChangeArrowheads="1"/>
        </xdr:cNvSpPr>
      </xdr:nvSpPr>
      <xdr:spPr bwMode="auto">
        <a:xfrm>
          <a:off x="346075" y="3670300"/>
          <a:ext cx="542925" cy="219075"/>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1200" b="0" i="0" u="none" strike="noStrike" baseline="0">
              <a:solidFill>
                <a:srgbClr val="000000"/>
              </a:solidFill>
              <a:latin typeface="ＭＳ 明朝"/>
              <a:ea typeface="ＭＳ 明朝"/>
            </a:rPr>
            <a:t>(d1)</a:t>
          </a:r>
        </a:p>
      </xdr:txBody>
    </xdr:sp>
    <xdr:clientData/>
  </xdr:twoCellAnchor>
  <xdr:twoCellAnchor>
    <xdr:from>
      <xdr:col>3</xdr:col>
      <xdr:colOff>0</xdr:colOff>
      <xdr:row>12</xdr:row>
      <xdr:rowOff>0</xdr:rowOff>
    </xdr:from>
    <xdr:to>
      <xdr:col>3</xdr:col>
      <xdr:colOff>533400</xdr:colOff>
      <xdr:row>12</xdr:row>
      <xdr:rowOff>219075</xdr:rowOff>
    </xdr:to>
    <xdr:sp macro="" textlink="">
      <xdr:nvSpPr>
        <xdr:cNvPr id="6203" name="Text Box 59">
          <a:extLst>
            <a:ext uri="{FF2B5EF4-FFF2-40B4-BE49-F238E27FC236}">
              <a16:creationId xmlns:a16="http://schemas.microsoft.com/office/drawing/2014/main" id="{8AFBAFAC-6495-4F1A-AD0D-138AADFE9285}"/>
            </a:ext>
          </a:extLst>
        </xdr:cNvPr>
        <xdr:cNvSpPr txBox="1">
          <a:spLocks noChangeArrowheads="1"/>
        </xdr:cNvSpPr>
      </xdr:nvSpPr>
      <xdr:spPr bwMode="auto">
        <a:xfrm>
          <a:off x="2495550" y="3657600"/>
          <a:ext cx="533400" cy="219075"/>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1200" b="0" i="0" u="none" strike="noStrike" baseline="0">
              <a:solidFill>
                <a:srgbClr val="000000"/>
              </a:solidFill>
              <a:latin typeface="ＭＳ 明朝"/>
              <a:ea typeface="ＭＳ 明朝"/>
            </a:rPr>
            <a:t>(d2)</a:t>
          </a:r>
        </a:p>
      </xdr:txBody>
    </xdr:sp>
    <xdr:clientData/>
  </xdr:twoCellAnchor>
  <xdr:twoCellAnchor>
    <xdr:from>
      <xdr:col>6</xdr:col>
      <xdr:colOff>0</xdr:colOff>
      <xdr:row>12</xdr:row>
      <xdr:rowOff>0</xdr:rowOff>
    </xdr:from>
    <xdr:to>
      <xdr:col>6</xdr:col>
      <xdr:colOff>533400</xdr:colOff>
      <xdr:row>12</xdr:row>
      <xdr:rowOff>219075</xdr:rowOff>
    </xdr:to>
    <xdr:sp macro="" textlink="">
      <xdr:nvSpPr>
        <xdr:cNvPr id="6204" name="Text Box 60">
          <a:extLst>
            <a:ext uri="{FF2B5EF4-FFF2-40B4-BE49-F238E27FC236}">
              <a16:creationId xmlns:a16="http://schemas.microsoft.com/office/drawing/2014/main" id="{C48A0A17-030E-45EE-B1D7-64DFA061A536}"/>
            </a:ext>
          </a:extLst>
        </xdr:cNvPr>
        <xdr:cNvSpPr txBox="1">
          <a:spLocks noChangeArrowheads="1"/>
        </xdr:cNvSpPr>
      </xdr:nvSpPr>
      <xdr:spPr bwMode="auto">
        <a:xfrm>
          <a:off x="5000625" y="3657600"/>
          <a:ext cx="533400" cy="219075"/>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1200" b="0" i="0" u="none" strike="noStrike" baseline="0">
              <a:solidFill>
                <a:srgbClr val="000000"/>
              </a:solidFill>
              <a:latin typeface="ＭＳ 明朝"/>
              <a:ea typeface="ＭＳ 明朝"/>
            </a:rPr>
            <a:t>(d3)</a:t>
          </a:r>
        </a:p>
      </xdr:txBody>
    </xdr:sp>
    <xdr:clientData/>
  </xdr:twoCellAnchor>
  <xdr:twoCellAnchor>
    <xdr:from>
      <xdr:col>0</xdr:col>
      <xdr:colOff>333375</xdr:colOff>
      <xdr:row>15</xdr:row>
      <xdr:rowOff>0</xdr:rowOff>
    </xdr:from>
    <xdr:to>
      <xdr:col>1</xdr:col>
      <xdr:colOff>533400</xdr:colOff>
      <xdr:row>15</xdr:row>
      <xdr:rowOff>219075</xdr:rowOff>
    </xdr:to>
    <xdr:sp macro="" textlink="">
      <xdr:nvSpPr>
        <xdr:cNvPr id="6206" name="Text Box 62">
          <a:extLst>
            <a:ext uri="{FF2B5EF4-FFF2-40B4-BE49-F238E27FC236}">
              <a16:creationId xmlns:a16="http://schemas.microsoft.com/office/drawing/2014/main" id="{A43B8EA4-6200-4DAA-8AB1-16CF76E0C870}"/>
            </a:ext>
          </a:extLst>
        </xdr:cNvPr>
        <xdr:cNvSpPr txBox="1">
          <a:spLocks noChangeArrowheads="1"/>
        </xdr:cNvSpPr>
      </xdr:nvSpPr>
      <xdr:spPr bwMode="auto">
        <a:xfrm>
          <a:off x="333375" y="4572000"/>
          <a:ext cx="542925" cy="219075"/>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1200" b="0" i="0" u="none" strike="noStrike" baseline="0">
              <a:solidFill>
                <a:srgbClr val="000000"/>
              </a:solidFill>
              <a:latin typeface="ＭＳ 明朝"/>
              <a:ea typeface="ＭＳ 明朝"/>
            </a:rPr>
            <a:t>(d4)</a:t>
          </a:r>
        </a:p>
      </xdr:txBody>
    </xdr:sp>
    <xdr:clientData/>
  </xdr:twoCellAnchor>
  <xdr:twoCellAnchor>
    <xdr:from>
      <xdr:col>3</xdr:col>
      <xdr:colOff>0</xdr:colOff>
      <xdr:row>15</xdr:row>
      <xdr:rowOff>0</xdr:rowOff>
    </xdr:from>
    <xdr:to>
      <xdr:col>3</xdr:col>
      <xdr:colOff>533400</xdr:colOff>
      <xdr:row>15</xdr:row>
      <xdr:rowOff>219075</xdr:rowOff>
    </xdr:to>
    <xdr:sp macro="" textlink="">
      <xdr:nvSpPr>
        <xdr:cNvPr id="6207" name="Text Box 63">
          <a:extLst>
            <a:ext uri="{FF2B5EF4-FFF2-40B4-BE49-F238E27FC236}">
              <a16:creationId xmlns:a16="http://schemas.microsoft.com/office/drawing/2014/main" id="{9C157079-8051-4147-B4D3-32F411579A8D}"/>
            </a:ext>
          </a:extLst>
        </xdr:cNvPr>
        <xdr:cNvSpPr txBox="1">
          <a:spLocks noChangeArrowheads="1"/>
        </xdr:cNvSpPr>
      </xdr:nvSpPr>
      <xdr:spPr bwMode="auto">
        <a:xfrm>
          <a:off x="2495550" y="4572000"/>
          <a:ext cx="533400" cy="219075"/>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1200" b="0" i="0" u="none" strike="noStrike" baseline="0">
              <a:solidFill>
                <a:srgbClr val="000000"/>
              </a:solidFill>
              <a:latin typeface="ＭＳ 明朝"/>
              <a:ea typeface="ＭＳ 明朝"/>
            </a:rPr>
            <a:t>(d3)</a:t>
          </a:r>
        </a:p>
      </xdr:txBody>
    </xdr:sp>
    <xdr:clientData/>
  </xdr:twoCellAnchor>
  <xdr:twoCellAnchor>
    <xdr:from>
      <xdr:col>6</xdr:col>
      <xdr:colOff>0</xdr:colOff>
      <xdr:row>15</xdr:row>
      <xdr:rowOff>0</xdr:rowOff>
    </xdr:from>
    <xdr:to>
      <xdr:col>6</xdr:col>
      <xdr:colOff>533400</xdr:colOff>
      <xdr:row>15</xdr:row>
      <xdr:rowOff>219075</xdr:rowOff>
    </xdr:to>
    <xdr:sp macro="" textlink="">
      <xdr:nvSpPr>
        <xdr:cNvPr id="6208" name="Text Box 64">
          <a:extLst>
            <a:ext uri="{FF2B5EF4-FFF2-40B4-BE49-F238E27FC236}">
              <a16:creationId xmlns:a16="http://schemas.microsoft.com/office/drawing/2014/main" id="{ED7202D0-C114-4B8A-AE87-25B99FA7622E}"/>
            </a:ext>
          </a:extLst>
        </xdr:cNvPr>
        <xdr:cNvSpPr txBox="1">
          <a:spLocks noChangeArrowheads="1"/>
        </xdr:cNvSpPr>
      </xdr:nvSpPr>
      <xdr:spPr bwMode="auto">
        <a:xfrm>
          <a:off x="5000625" y="4572000"/>
          <a:ext cx="533400" cy="219075"/>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1200" b="0" i="0" u="none" strike="noStrike" baseline="0">
              <a:solidFill>
                <a:srgbClr val="000000"/>
              </a:solidFill>
              <a:latin typeface="ＭＳ 明朝"/>
              <a:ea typeface="ＭＳ 明朝"/>
            </a:rPr>
            <a:t>(D)</a:t>
          </a:r>
        </a:p>
      </xdr:txBody>
    </xdr:sp>
    <xdr:clientData/>
  </xdr:twoCellAnchor>
  <xdr:twoCellAnchor>
    <xdr:from>
      <xdr:col>0</xdr:col>
      <xdr:colOff>304800</xdr:colOff>
      <xdr:row>19</xdr:row>
      <xdr:rowOff>3175</xdr:rowOff>
    </xdr:from>
    <xdr:to>
      <xdr:col>1</xdr:col>
      <xdr:colOff>1222391</xdr:colOff>
      <xdr:row>19</xdr:row>
      <xdr:rowOff>222250</xdr:rowOff>
    </xdr:to>
    <xdr:sp macro="" textlink="">
      <xdr:nvSpPr>
        <xdr:cNvPr id="6210" name="Text Box 66">
          <a:extLst>
            <a:ext uri="{FF2B5EF4-FFF2-40B4-BE49-F238E27FC236}">
              <a16:creationId xmlns:a16="http://schemas.microsoft.com/office/drawing/2014/main" id="{7BB94982-73B2-4CB8-831D-E98DE5E89461}"/>
            </a:ext>
          </a:extLst>
        </xdr:cNvPr>
        <xdr:cNvSpPr txBox="1">
          <a:spLocks noChangeArrowheads="1"/>
        </xdr:cNvSpPr>
      </xdr:nvSpPr>
      <xdr:spPr bwMode="auto">
        <a:xfrm>
          <a:off x="304800" y="5794375"/>
          <a:ext cx="1266825" cy="219075"/>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1200" b="0" i="0" u="none" strike="noStrike" baseline="0">
              <a:solidFill>
                <a:srgbClr val="000000"/>
              </a:solidFill>
              <a:latin typeface="ＭＳ 明朝"/>
              <a:ea typeface="ＭＳ 明朝"/>
            </a:rPr>
            <a:t>(B⑦-B④-B⑤)</a:t>
          </a:r>
        </a:p>
      </xdr:txBody>
    </xdr:sp>
    <xdr:clientData/>
  </xdr:twoCellAnchor>
  <xdr:twoCellAnchor>
    <xdr:from>
      <xdr:col>3</xdr:col>
      <xdr:colOff>0</xdr:colOff>
      <xdr:row>19</xdr:row>
      <xdr:rowOff>0</xdr:rowOff>
    </xdr:from>
    <xdr:to>
      <xdr:col>3</xdr:col>
      <xdr:colOff>536612</xdr:colOff>
      <xdr:row>19</xdr:row>
      <xdr:rowOff>219075</xdr:rowOff>
    </xdr:to>
    <xdr:sp macro="" textlink="">
      <xdr:nvSpPr>
        <xdr:cNvPr id="6211" name="Text Box 67">
          <a:extLst>
            <a:ext uri="{FF2B5EF4-FFF2-40B4-BE49-F238E27FC236}">
              <a16:creationId xmlns:a16="http://schemas.microsoft.com/office/drawing/2014/main" id="{C654DA69-B96B-458D-AD37-A45C7DA572D9}"/>
            </a:ext>
          </a:extLst>
        </xdr:cNvPr>
        <xdr:cNvSpPr txBox="1">
          <a:spLocks noChangeArrowheads="1"/>
        </xdr:cNvSpPr>
      </xdr:nvSpPr>
      <xdr:spPr bwMode="auto">
        <a:xfrm>
          <a:off x="2495550" y="5791200"/>
          <a:ext cx="542925" cy="219075"/>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1200" b="0" i="0" u="none" strike="noStrike" baseline="0">
              <a:solidFill>
                <a:srgbClr val="000000"/>
              </a:solidFill>
              <a:latin typeface="ＭＳ 明朝"/>
              <a:ea typeface="ＭＳ 明朝"/>
            </a:rPr>
            <a:t>(e1)</a:t>
          </a:r>
        </a:p>
      </xdr:txBody>
    </xdr:sp>
    <xdr:clientData/>
  </xdr:twoCellAnchor>
  <xdr:twoCellAnchor>
    <xdr:from>
      <xdr:col>6</xdr:col>
      <xdr:colOff>0</xdr:colOff>
      <xdr:row>19</xdr:row>
      <xdr:rowOff>0</xdr:rowOff>
    </xdr:from>
    <xdr:to>
      <xdr:col>6</xdr:col>
      <xdr:colOff>536612</xdr:colOff>
      <xdr:row>19</xdr:row>
      <xdr:rowOff>219075</xdr:rowOff>
    </xdr:to>
    <xdr:sp macro="" textlink="">
      <xdr:nvSpPr>
        <xdr:cNvPr id="6212" name="Text Box 68">
          <a:extLst>
            <a:ext uri="{FF2B5EF4-FFF2-40B4-BE49-F238E27FC236}">
              <a16:creationId xmlns:a16="http://schemas.microsoft.com/office/drawing/2014/main" id="{CEDCF387-31D5-4272-968E-667E7ACB2501}"/>
            </a:ext>
          </a:extLst>
        </xdr:cNvPr>
        <xdr:cNvSpPr txBox="1">
          <a:spLocks noChangeArrowheads="1"/>
        </xdr:cNvSpPr>
      </xdr:nvSpPr>
      <xdr:spPr bwMode="auto">
        <a:xfrm>
          <a:off x="5000625" y="5791200"/>
          <a:ext cx="542925" cy="219075"/>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1200" b="0" i="0" u="none" strike="noStrike" baseline="0">
              <a:solidFill>
                <a:srgbClr val="000000"/>
              </a:solidFill>
              <a:latin typeface="ＭＳ 明朝"/>
              <a:ea typeface="ＭＳ 明朝"/>
            </a:rPr>
            <a:t>(E①)</a:t>
          </a:r>
        </a:p>
      </xdr:txBody>
    </xdr:sp>
    <xdr:clientData/>
  </xdr:twoCellAnchor>
  <xdr:twoCellAnchor>
    <xdr:from>
      <xdr:col>0</xdr:col>
      <xdr:colOff>333375</xdr:colOff>
      <xdr:row>22</xdr:row>
      <xdr:rowOff>0</xdr:rowOff>
    </xdr:from>
    <xdr:to>
      <xdr:col>1</xdr:col>
      <xdr:colOff>803275</xdr:colOff>
      <xdr:row>22</xdr:row>
      <xdr:rowOff>219075</xdr:rowOff>
    </xdr:to>
    <xdr:sp macro="" textlink="">
      <xdr:nvSpPr>
        <xdr:cNvPr id="6215" name="Text Box 71">
          <a:extLst>
            <a:ext uri="{FF2B5EF4-FFF2-40B4-BE49-F238E27FC236}">
              <a16:creationId xmlns:a16="http://schemas.microsoft.com/office/drawing/2014/main" id="{D09F406A-D9DC-4C7A-9086-06FA3AA1DEEE}"/>
            </a:ext>
          </a:extLst>
        </xdr:cNvPr>
        <xdr:cNvSpPr txBox="1">
          <a:spLocks noChangeArrowheads="1"/>
        </xdr:cNvSpPr>
      </xdr:nvSpPr>
      <xdr:spPr bwMode="auto">
        <a:xfrm>
          <a:off x="333375" y="6743700"/>
          <a:ext cx="819150" cy="219075"/>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1200" b="0" i="0" u="none" strike="noStrike" baseline="0">
              <a:solidFill>
                <a:srgbClr val="000000"/>
              </a:solidFill>
              <a:latin typeface="ＭＳ 明朝"/>
              <a:ea typeface="ＭＳ 明朝"/>
            </a:rPr>
            <a:t>(B④+B⑤)</a:t>
          </a:r>
        </a:p>
      </xdr:txBody>
    </xdr:sp>
    <xdr:clientData/>
  </xdr:twoCellAnchor>
  <xdr:twoCellAnchor>
    <xdr:from>
      <xdr:col>3</xdr:col>
      <xdr:colOff>0</xdr:colOff>
      <xdr:row>22</xdr:row>
      <xdr:rowOff>0</xdr:rowOff>
    </xdr:from>
    <xdr:to>
      <xdr:col>3</xdr:col>
      <xdr:colOff>536612</xdr:colOff>
      <xdr:row>22</xdr:row>
      <xdr:rowOff>219075</xdr:rowOff>
    </xdr:to>
    <xdr:sp macro="" textlink="">
      <xdr:nvSpPr>
        <xdr:cNvPr id="6216" name="Text Box 72">
          <a:extLst>
            <a:ext uri="{FF2B5EF4-FFF2-40B4-BE49-F238E27FC236}">
              <a16:creationId xmlns:a16="http://schemas.microsoft.com/office/drawing/2014/main" id="{8762A9E9-5312-4435-A42D-DFDE48395E26}"/>
            </a:ext>
          </a:extLst>
        </xdr:cNvPr>
        <xdr:cNvSpPr txBox="1">
          <a:spLocks noChangeArrowheads="1"/>
        </xdr:cNvSpPr>
      </xdr:nvSpPr>
      <xdr:spPr bwMode="auto">
        <a:xfrm>
          <a:off x="2495550" y="6743700"/>
          <a:ext cx="542925" cy="219075"/>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1200" b="0" i="0" u="none" strike="noStrike" baseline="0">
              <a:solidFill>
                <a:srgbClr val="000000"/>
              </a:solidFill>
              <a:latin typeface="ＭＳ 明朝"/>
              <a:ea typeface="ＭＳ 明朝"/>
            </a:rPr>
            <a:t>(e2)</a:t>
          </a:r>
        </a:p>
      </xdr:txBody>
    </xdr:sp>
    <xdr:clientData/>
  </xdr:twoCellAnchor>
  <xdr:twoCellAnchor>
    <xdr:from>
      <xdr:col>6</xdr:col>
      <xdr:colOff>0</xdr:colOff>
      <xdr:row>22</xdr:row>
      <xdr:rowOff>0</xdr:rowOff>
    </xdr:from>
    <xdr:to>
      <xdr:col>6</xdr:col>
      <xdr:colOff>536612</xdr:colOff>
      <xdr:row>22</xdr:row>
      <xdr:rowOff>219075</xdr:rowOff>
    </xdr:to>
    <xdr:sp macro="" textlink="">
      <xdr:nvSpPr>
        <xdr:cNvPr id="6217" name="Text Box 73">
          <a:extLst>
            <a:ext uri="{FF2B5EF4-FFF2-40B4-BE49-F238E27FC236}">
              <a16:creationId xmlns:a16="http://schemas.microsoft.com/office/drawing/2014/main" id="{F23EA801-470A-4A41-A9A5-B08B25E25BB6}"/>
            </a:ext>
          </a:extLst>
        </xdr:cNvPr>
        <xdr:cNvSpPr txBox="1">
          <a:spLocks noChangeArrowheads="1"/>
        </xdr:cNvSpPr>
      </xdr:nvSpPr>
      <xdr:spPr bwMode="auto">
        <a:xfrm>
          <a:off x="5000625" y="6743700"/>
          <a:ext cx="542925" cy="219075"/>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1200" b="0" i="0" u="none" strike="noStrike" baseline="0">
              <a:solidFill>
                <a:srgbClr val="000000"/>
              </a:solidFill>
              <a:latin typeface="ＭＳ 明朝"/>
              <a:ea typeface="ＭＳ 明朝"/>
            </a:rPr>
            <a:t>(E②)</a:t>
          </a:r>
        </a:p>
      </xdr:txBody>
    </xdr:sp>
    <xdr:clientData/>
  </xdr:twoCellAnchor>
  <xdr:twoCellAnchor>
    <xdr:from>
      <xdr:col>3</xdr:col>
      <xdr:colOff>0</xdr:colOff>
      <xdr:row>32</xdr:row>
      <xdr:rowOff>0</xdr:rowOff>
    </xdr:from>
    <xdr:to>
      <xdr:col>3</xdr:col>
      <xdr:colOff>536612</xdr:colOff>
      <xdr:row>32</xdr:row>
      <xdr:rowOff>219075</xdr:rowOff>
    </xdr:to>
    <xdr:sp macro="" textlink="">
      <xdr:nvSpPr>
        <xdr:cNvPr id="6220" name="Text Box 76">
          <a:extLst>
            <a:ext uri="{FF2B5EF4-FFF2-40B4-BE49-F238E27FC236}">
              <a16:creationId xmlns:a16="http://schemas.microsoft.com/office/drawing/2014/main" id="{C9D057EC-D680-44B7-B4C1-511BECACCDEA}"/>
            </a:ext>
          </a:extLst>
        </xdr:cNvPr>
        <xdr:cNvSpPr txBox="1">
          <a:spLocks noChangeArrowheads="1"/>
        </xdr:cNvSpPr>
      </xdr:nvSpPr>
      <xdr:spPr bwMode="auto">
        <a:xfrm>
          <a:off x="2495550" y="9867900"/>
          <a:ext cx="542925" cy="219075"/>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1200" b="0" i="0" u="none" strike="noStrike" baseline="0">
              <a:solidFill>
                <a:srgbClr val="000000"/>
              </a:solidFill>
              <a:latin typeface="ＭＳ 明朝"/>
              <a:ea typeface="ＭＳ 明朝"/>
            </a:rPr>
            <a:t>(f2)</a:t>
          </a:r>
        </a:p>
      </xdr:txBody>
    </xdr:sp>
    <xdr:clientData/>
  </xdr:twoCellAnchor>
  <xdr:twoCellAnchor>
    <xdr:from>
      <xdr:col>6</xdr:col>
      <xdr:colOff>0</xdr:colOff>
      <xdr:row>32</xdr:row>
      <xdr:rowOff>0</xdr:rowOff>
    </xdr:from>
    <xdr:to>
      <xdr:col>6</xdr:col>
      <xdr:colOff>536612</xdr:colOff>
      <xdr:row>32</xdr:row>
      <xdr:rowOff>219075</xdr:rowOff>
    </xdr:to>
    <xdr:sp macro="" textlink="">
      <xdr:nvSpPr>
        <xdr:cNvPr id="6221" name="Text Box 77">
          <a:extLst>
            <a:ext uri="{FF2B5EF4-FFF2-40B4-BE49-F238E27FC236}">
              <a16:creationId xmlns:a16="http://schemas.microsoft.com/office/drawing/2014/main" id="{C932E114-0BC3-4EA0-84DA-85DAC3EF64F2}"/>
            </a:ext>
          </a:extLst>
        </xdr:cNvPr>
        <xdr:cNvSpPr txBox="1">
          <a:spLocks noChangeArrowheads="1"/>
        </xdr:cNvSpPr>
      </xdr:nvSpPr>
      <xdr:spPr bwMode="auto">
        <a:xfrm>
          <a:off x="5000625" y="9867900"/>
          <a:ext cx="542925" cy="219075"/>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1200" b="0" i="0" u="none" strike="noStrike" baseline="0">
              <a:solidFill>
                <a:srgbClr val="000000"/>
              </a:solidFill>
              <a:latin typeface="ＭＳ 明朝"/>
              <a:ea typeface="ＭＳ 明朝"/>
            </a:rPr>
            <a:t>(F①)</a:t>
          </a:r>
        </a:p>
      </xdr:txBody>
    </xdr:sp>
    <xdr:clientData/>
  </xdr:twoCellAnchor>
  <xdr:twoCellAnchor>
    <xdr:from>
      <xdr:col>0</xdr:col>
      <xdr:colOff>333375</xdr:colOff>
      <xdr:row>38</xdr:row>
      <xdr:rowOff>0</xdr:rowOff>
    </xdr:from>
    <xdr:to>
      <xdr:col>1</xdr:col>
      <xdr:colOff>479425</xdr:colOff>
      <xdr:row>38</xdr:row>
      <xdr:rowOff>219075</xdr:rowOff>
    </xdr:to>
    <xdr:sp macro="" textlink="">
      <xdr:nvSpPr>
        <xdr:cNvPr id="6227" name="Text Box 83">
          <a:extLst>
            <a:ext uri="{FF2B5EF4-FFF2-40B4-BE49-F238E27FC236}">
              <a16:creationId xmlns:a16="http://schemas.microsoft.com/office/drawing/2014/main" id="{F9A49162-E90F-478D-BCF1-95D9D983BA75}"/>
            </a:ext>
          </a:extLst>
        </xdr:cNvPr>
        <xdr:cNvSpPr txBox="1">
          <a:spLocks noChangeArrowheads="1"/>
        </xdr:cNvSpPr>
      </xdr:nvSpPr>
      <xdr:spPr bwMode="auto">
        <a:xfrm>
          <a:off x="333375" y="11950700"/>
          <a:ext cx="495300" cy="219075"/>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1200" b="0" i="0" u="none" strike="noStrike" baseline="0">
              <a:solidFill>
                <a:srgbClr val="000000"/>
              </a:solidFill>
              <a:latin typeface="ＭＳ 明朝"/>
              <a:ea typeface="ＭＳ 明朝"/>
            </a:rPr>
            <a:t>(f4)</a:t>
          </a:r>
        </a:p>
      </xdr:txBody>
    </xdr:sp>
    <xdr:clientData/>
  </xdr:twoCellAnchor>
  <xdr:twoCellAnchor>
    <xdr:from>
      <xdr:col>3</xdr:col>
      <xdr:colOff>0</xdr:colOff>
      <xdr:row>38</xdr:row>
      <xdr:rowOff>0</xdr:rowOff>
    </xdr:from>
    <xdr:to>
      <xdr:col>3</xdr:col>
      <xdr:colOff>536612</xdr:colOff>
      <xdr:row>38</xdr:row>
      <xdr:rowOff>219075</xdr:rowOff>
    </xdr:to>
    <xdr:sp macro="" textlink="">
      <xdr:nvSpPr>
        <xdr:cNvPr id="6228" name="Text Box 84">
          <a:extLst>
            <a:ext uri="{FF2B5EF4-FFF2-40B4-BE49-F238E27FC236}">
              <a16:creationId xmlns:a16="http://schemas.microsoft.com/office/drawing/2014/main" id="{8B601FE9-2BEB-4F54-9630-F37ECBB28B33}"/>
            </a:ext>
          </a:extLst>
        </xdr:cNvPr>
        <xdr:cNvSpPr txBox="1">
          <a:spLocks noChangeArrowheads="1"/>
        </xdr:cNvSpPr>
      </xdr:nvSpPr>
      <xdr:spPr bwMode="auto">
        <a:xfrm>
          <a:off x="2495550" y="11849100"/>
          <a:ext cx="542925" cy="219075"/>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1200" b="0" i="0" u="none" strike="noStrike" baseline="0">
              <a:solidFill>
                <a:srgbClr val="000000"/>
              </a:solidFill>
              <a:latin typeface="ＭＳ 明朝"/>
              <a:ea typeface="ＭＳ 明朝"/>
            </a:rPr>
            <a:t>(f2)</a:t>
          </a:r>
        </a:p>
      </xdr:txBody>
    </xdr:sp>
    <xdr:clientData/>
  </xdr:twoCellAnchor>
  <xdr:twoCellAnchor>
    <xdr:from>
      <xdr:col>6</xdr:col>
      <xdr:colOff>0</xdr:colOff>
      <xdr:row>38</xdr:row>
      <xdr:rowOff>0</xdr:rowOff>
    </xdr:from>
    <xdr:to>
      <xdr:col>6</xdr:col>
      <xdr:colOff>536612</xdr:colOff>
      <xdr:row>38</xdr:row>
      <xdr:rowOff>219075</xdr:rowOff>
    </xdr:to>
    <xdr:sp macro="" textlink="">
      <xdr:nvSpPr>
        <xdr:cNvPr id="6229" name="Text Box 85">
          <a:extLst>
            <a:ext uri="{FF2B5EF4-FFF2-40B4-BE49-F238E27FC236}">
              <a16:creationId xmlns:a16="http://schemas.microsoft.com/office/drawing/2014/main" id="{4BFF1384-B7AA-4B4D-ADBF-7DBE5B5A1207}"/>
            </a:ext>
          </a:extLst>
        </xdr:cNvPr>
        <xdr:cNvSpPr txBox="1">
          <a:spLocks noChangeArrowheads="1"/>
        </xdr:cNvSpPr>
      </xdr:nvSpPr>
      <xdr:spPr bwMode="auto">
        <a:xfrm>
          <a:off x="5000625" y="11849100"/>
          <a:ext cx="542925" cy="219075"/>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1200" b="0" i="0" u="none" strike="noStrike" baseline="0">
              <a:solidFill>
                <a:srgbClr val="000000"/>
              </a:solidFill>
              <a:latin typeface="ＭＳ 明朝"/>
              <a:ea typeface="ＭＳ 明朝"/>
            </a:rPr>
            <a:t>(F②)</a:t>
          </a:r>
        </a:p>
      </xdr:txBody>
    </xdr:sp>
    <xdr:clientData/>
  </xdr:twoCellAnchor>
  <xdr:twoCellAnchor>
    <xdr:from>
      <xdr:col>1</xdr:col>
      <xdr:colOff>0</xdr:colOff>
      <xdr:row>35</xdr:row>
      <xdr:rowOff>0</xdr:rowOff>
    </xdr:from>
    <xdr:to>
      <xdr:col>1</xdr:col>
      <xdr:colOff>650906</xdr:colOff>
      <xdr:row>35</xdr:row>
      <xdr:rowOff>219075</xdr:rowOff>
    </xdr:to>
    <xdr:sp macro="" textlink="">
      <xdr:nvSpPr>
        <xdr:cNvPr id="6230" name="Text Box 86">
          <a:extLst>
            <a:ext uri="{FF2B5EF4-FFF2-40B4-BE49-F238E27FC236}">
              <a16:creationId xmlns:a16="http://schemas.microsoft.com/office/drawing/2014/main" id="{FCBA7AEB-4F4B-4128-BC75-DE7DFFE02880}"/>
            </a:ext>
          </a:extLst>
        </xdr:cNvPr>
        <xdr:cNvSpPr txBox="1">
          <a:spLocks noChangeArrowheads="1"/>
        </xdr:cNvSpPr>
      </xdr:nvSpPr>
      <xdr:spPr bwMode="auto">
        <a:xfrm>
          <a:off x="342900" y="10858500"/>
          <a:ext cx="657225" cy="219075"/>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1200" b="0" i="0" u="none" strike="noStrike" baseline="0">
              <a:solidFill>
                <a:srgbClr val="000000"/>
              </a:solidFill>
              <a:latin typeface="ＭＳ 明朝"/>
              <a:ea typeface="ＭＳ 明朝"/>
            </a:rPr>
            <a:t>(B②)</a:t>
          </a:r>
        </a:p>
      </xdr:txBody>
    </xdr:sp>
    <xdr:clientData/>
  </xdr:twoCellAnchor>
  <xdr:twoCellAnchor>
    <xdr:from>
      <xdr:col>3</xdr:col>
      <xdr:colOff>0</xdr:colOff>
      <xdr:row>35</xdr:row>
      <xdr:rowOff>0</xdr:rowOff>
    </xdr:from>
    <xdr:to>
      <xdr:col>3</xdr:col>
      <xdr:colOff>536612</xdr:colOff>
      <xdr:row>35</xdr:row>
      <xdr:rowOff>219075</xdr:rowOff>
    </xdr:to>
    <xdr:sp macro="" textlink="">
      <xdr:nvSpPr>
        <xdr:cNvPr id="6231" name="Text Box 87">
          <a:extLst>
            <a:ext uri="{FF2B5EF4-FFF2-40B4-BE49-F238E27FC236}">
              <a16:creationId xmlns:a16="http://schemas.microsoft.com/office/drawing/2014/main" id="{7E8B2F3A-8567-4C5D-83F4-DEA2049BED84}"/>
            </a:ext>
          </a:extLst>
        </xdr:cNvPr>
        <xdr:cNvSpPr txBox="1">
          <a:spLocks noChangeArrowheads="1"/>
        </xdr:cNvSpPr>
      </xdr:nvSpPr>
      <xdr:spPr bwMode="auto">
        <a:xfrm>
          <a:off x="2495550" y="10858500"/>
          <a:ext cx="542925" cy="219075"/>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1200" b="0" i="0" u="none" strike="noStrike" baseline="0">
              <a:solidFill>
                <a:srgbClr val="000000"/>
              </a:solidFill>
              <a:latin typeface="ＭＳ 明朝"/>
              <a:ea typeface="ＭＳ 明朝"/>
            </a:rPr>
            <a:t>(B③)</a:t>
          </a:r>
        </a:p>
      </xdr:txBody>
    </xdr:sp>
    <xdr:clientData/>
  </xdr:twoCellAnchor>
  <xdr:twoCellAnchor>
    <xdr:from>
      <xdr:col>6</xdr:col>
      <xdr:colOff>0</xdr:colOff>
      <xdr:row>35</xdr:row>
      <xdr:rowOff>0</xdr:rowOff>
    </xdr:from>
    <xdr:to>
      <xdr:col>6</xdr:col>
      <xdr:colOff>419100</xdr:colOff>
      <xdr:row>35</xdr:row>
      <xdr:rowOff>228600</xdr:rowOff>
    </xdr:to>
    <xdr:sp macro="" textlink="">
      <xdr:nvSpPr>
        <xdr:cNvPr id="6232" name="Text Box 88">
          <a:extLst>
            <a:ext uri="{FF2B5EF4-FFF2-40B4-BE49-F238E27FC236}">
              <a16:creationId xmlns:a16="http://schemas.microsoft.com/office/drawing/2014/main" id="{595799BE-BD4C-4945-9AEC-4E0E46AD94BA}"/>
            </a:ext>
          </a:extLst>
        </xdr:cNvPr>
        <xdr:cNvSpPr txBox="1">
          <a:spLocks noChangeArrowheads="1"/>
        </xdr:cNvSpPr>
      </xdr:nvSpPr>
      <xdr:spPr bwMode="auto">
        <a:xfrm>
          <a:off x="5000625" y="10858500"/>
          <a:ext cx="419100" cy="22860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1200" b="0" i="0" u="none" strike="noStrike" baseline="0">
              <a:solidFill>
                <a:srgbClr val="000000"/>
              </a:solidFill>
              <a:latin typeface="ＭＳ 明朝"/>
              <a:ea typeface="ＭＳ 明朝"/>
            </a:rPr>
            <a:t>(f4)</a:t>
          </a:r>
        </a:p>
      </xdr:txBody>
    </xdr:sp>
    <xdr:clientData/>
  </xdr:twoCellAnchor>
  <xdr:twoCellAnchor>
    <xdr:from>
      <xdr:col>5</xdr:col>
      <xdr:colOff>0</xdr:colOff>
      <xdr:row>35</xdr:row>
      <xdr:rowOff>0</xdr:rowOff>
    </xdr:from>
    <xdr:to>
      <xdr:col>5</xdr:col>
      <xdr:colOff>384226</xdr:colOff>
      <xdr:row>35</xdr:row>
      <xdr:rowOff>219075</xdr:rowOff>
    </xdr:to>
    <xdr:sp macro="" textlink="">
      <xdr:nvSpPr>
        <xdr:cNvPr id="6233" name="Text Box 89">
          <a:extLst>
            <a:ext uri="{FF2B5EF4-FFF2-40B4-BE49-F238E27FC236}">
              <a16:creationId xmlns:a16="http://schemas.microsoft.com/office/drawing/2014/main" id="{1AA2BDC3-D1DD-4EDC-B1E5-FFCEBBB31D12}"/>
            </a:ext>
          </a:extLst>
        </xdr:cNvPr>
        <xdr:cNvSpPr txBox="1">
          <a:spLocks noChangeArrowheads="1"/>
        </xdr:cNvSpPr>
      </xdr:nvSpPr>
      <xdr:spPr bwMode="auto">
        <a:xfrm>
          <a:off x="4191000" y="10858500"/>
          <a:ext cx="390525" cy="219075"/>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1200" b="0" i="0" u="none" strike="noStrike" baseline="0">
              <a:solidFill>
                <a:srgbClr val="000000"/>
              </a:solidFill>
              <a:latin typeface="ＭＳ 明朝"/>
              <a:ea typeface="ＭＳ 明朝"/>
            </a:rPr>
            <a:t>(f3)</a:t>
          </a:r>
        </a:p>
      </xdr:txBody>
    </xdr:sp>
    <xdr:clientData/>
  </xdr:twoCellAnchor>
  <xdr:twoCellAnchor>
    <xdr:from>
      <xdr:col>1</xdr:col>
      <xdr:colOff>0</xdr:colOff>
      <xdr:row>48</xdr:row>
      <xdr:rowOff>0</xdr:rowOff>
    </xdr:from>
    <xdr:to>
      <xdr:col>1</xdr:col>
      <xdr:colOff>498515</xdr:colOff>
      <xdr:row>48</xdr:row>
      <xdr:rowOff>238125</xdr:rowOff>
    </xdr:to>
    <xdr:sp macro="" textlink="">
      <xdr:nvSpPr>
        <xdr:cNvPr id="6237" name="Text Box 93">
          <a:extLst>
            <a:ext uri="{FF2B5EF4-FFF2-40B4-BE49-F238E27FC236}">
              <a16:creationId xmlns:a16="http://schemas.microsoft.com/office/drawing/2014/main" id="{A3D420E0-7D93-4405-A490-4C6DA03B7C4E}"/>
            </a:ext>
          </a:extLst>
        </xdr:cNvPr>
        <xdr:cNvSpPr txBox="1">
          <a:spLocks noChangeArrowheads="1"/>
        </xdr:cNvSpPr>
      </xdr:nvSpPr>
      <xdr:spPr bwMode="auto">
        <a:xfrm>
          <a:off x="342900" y="15163800"/>
          <a:ext cx="504825" cy="238125"/>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1200" b="0" i="0" u="none" strike="noStrike" baseline="0">
              <a:solidFill>
                <a:srgbClr val="000000"/>
              </a:solidFill>
              <a:latin typeface="ＭＳ 明朝"/>
              <a:ea typeface="ＭＳ 明朝"/>
            </a:rPr>
            <a:t>(h1)</a:t>
          </a:r>
        </a:p>
      </xdr:txBody>
    </xdr:sp>
    <xdr:clientData/>
  </xdr:twoCellAnchor>
  <xdr:twoCellAnchor>
    <xdr:from>
      <xdr:col>2</xdr:col>
      <xdr:colOff>742950</xdr:colOff>
      <xdr:row>48</xdr:row>
      <xdr:rowOff>0</xdr:rowOff>
    </xdr:from>
    <xdr:to>
      <xdr:col>3</xdr:col>
      <xdr:colOff>533400</xdr:colOff>
      <xdr:row>48</xdr:row>
      <xdr:rowOff>219075</xdr:rowOff>
    </xdr:to>
    <xdr:sp macro="" textlink="">
      <xdr:nvSpPr>
        <xdr:cNvPr id="6238" name="Text Box 94">
          <a:extLst>
            <a:ext uri="{FF2B5EF4-FFF2-40B4-BE49-F238E27FC236}">
              <a16:creationId xmlns:a16="http://schemas.microsoft.com/office/drawing/2014/main" id="{41529DF1-228E-428D-A716-8B673E9C1A5C}"/>
            </a:ext>
          </a:extLst>
        </xdr:cNvPr>
        <xdr:cNvSpPr txBox="1">
          <a:spLocks noChangeArrowheads="1"/>
        </xdr:cNvSpPr>
      </xdr:nvSpPr>
      <xdr:spPr bwMode="auto">
        <a:xfrm>
          <a:off x="2495550" y="15163800"/>
          <a:ext cx="533400" cy="219075"/>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1200" b="0" i="0" u="none" strike="noStrike" baseline="0">
              <a:solidFill>
                <a:srgbClr val="000000"/>
              </a:solidFill>
              <a:latin typeface="ＭＳ 明朝"/>
              <a:ea typeface="ＭＳ 明朝"/>
            </a:rPr>
            <a:t>(h2)</a:t>
          </a:r>
        </a:p>
      </xdr:txBody>
    </xdr:sp>
    <xdr:clientData/>
  </xdr:twoCellAnchor>
  <xdr:twoCellAnchor>
    <xdr:from>
      <xdr:col>6</xdr:col>
      <xdr:colOff>0</xdr:colOff>
      <xdr:row>48</xdr:row>
      <xdr:rowOff>0</xdr:rowOff>
    </xdr:from>
    <xdr:to>
      <xdr:col>6</xdr:col>
      <xdr:colOff>536612</xdr:colOff>
      <xdr:row>48</xdr:row>
      <xdr:rowOff>219075</xdr:rowOff>
    </xdr:to>
    <xdr:sp macro="" textlink="">
      <xdr:nvSpPr>
        <xdr:cNvPr id="6239" name="Text Box 95">
          <a:extLst>
            <a:ext uri="{FF2B5EF4-FFF2-40B4-BE49-F238E27FC236}">
              <a16:creationId xmlns:a16="http://schemas.microsoft.com/office/drawing/2014/main" id="{CFE708D2-E772-4A0E-A317-2CC9B0C63336}"/>
            </a:ext>
          </a:extLst>
        </xdr:cNvPr>
        <xdr:cNvSpPr txBox="1">
          <a:spLocks noChangeArrowheads="1"/>
        </xdr:cNvSpPr>
      </xdr:nvSpPr>
      <xdr:spPr bwMode="auto">
        <a:xfrm>
          <a:off x="5000625" y="15163800"/>
          <a:ext cx="542925" cy="219075"/>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1200" b="0" i="0" u="none" strike="noStrike" baseline="0">
              <a:solidFill>
                <a:srgbClr val="000000"/>
              </a:solidFill>
              <a:latin typeface="ＭＳ 明朝"/>
              <a:ea typeface="ＭＳ 明朝"/>
            </a:rPr>
            <a:t>(H)</a:t>
          </a:r>
        </a:p>
      </xdr:txBody>
    </xdr:sp>
    <xdr:clientData/>
  </xdr:twoCellAnchor>
  <xdr:twoCellAnchor>
    <xdr:from>
      <xdr:col>0</xdr:col>
      <xdr:colOff>333375</xdr:colOff>
      <xdr:row>44</xdr:row>
      <xdr:rowOff>0</xdr:rowOff>
    </xdr:from>
    <xdr:to>
      <xdr:col>1</xdr:col>
      <xdr:colOff>479425</xdr:colOff>
      <xdr:row>44</xdr:row>
      <xdr:rowOff>219075</xdr:rowOff>
    </xdr:to>
    <xdr:sp macro="" textlink="">
      <xdr:nvSpPr>
        <xdr:cNvPr id="6241" name="Text Box 97">
          <a:extLst>
            <a:ext uri="{FF2B5EF4-FFF2-40B4-BE49-F238E27FC236}">
              <a16:creationId xmlns:a16="http://schemas.microsoft.com/office/drawing/2014/main" id="{979D0B54-8EB3-4C01-8265-3A93D15B346D}"/>
            </a:ext>
          </a:extLst>
        </xdr:cNvPr>
        <xdr:cNvSpPr txBox="1">
          <a:spLocks noChangeArrowheads="1"/>
        </xdr:cNvSpPr>
      </xdr:nvSpPr>
      <xdr:spPr bwMode="auto">
        <a:xfrm>
          <a:off x="333375" y="14058900"/>
          <a:ext cx="495300" cy="219075"/>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1200" b="0" i="0" u="none" strike="noStrike" baseline="0">
              <a:solidFill>
                <a:srgbClr val="000000"/>
              </a:solidFill>
              <a:latin typeface="ＭＳ 明朝"/>
              <a:ea typeface="ＭＳ 明朝"/>
            </a:rPr>
            <a:t>(L)</a:t>
          </a:r>
        </a:p>
      </xdr:txBody>
    </xdr:sp>
    <xdr:clientData/>
  </xdr:twoCellAnchor>
  <xdr:twoCellAnchor>
    <xdr:from>
      <xdr:col>3</xdr:col>
      <xdr:colOff>0</xdr:colOff>
      <xdr:row>44</xdr:row>
      <xdr:rowOff>0</xdr:rowOff>
    </xdr:from>
    <xdr:to>
      <xdr:col>3</xdr:col>
      <xdr:colOff>536612</xdr:colOff>
      <xdr:row>44</xdr:row>
      <xdr:rowOff>219075</xdr:rowOff>
    </xdr:to>
    <xdr:sp macro="" textlink="">
      <xdr:nvSpPr>
        <xdr:cNvPr id="6242" name="Text Box 98">
          <a:extLst>
            <a:ext uri="{FF2B5EF4-FFF2-40B4-BE49-F238E27FC236}">
              <a16:creationId xmlns:a16="http://schemas.microsoft.com/office/drawing/2014/main" id="{0E2457F8-4B4D-403F-BE2D-18EA2E5E2B80}"/>
            </a:ext>
          </a:extLst>
        </xdr:cNvPr>
        <xdr:cNvSpPr txBox="1">
          <a:spLocks noChangeArrowheads="1"/>
        </xdr:cNvSpPr>
      </xdr:nvSpPr>
      <xdr:spPr bwMode="auto">
        <a:xfrm>
          <a:off x="2495550" y="13944600"/>
          <a:ext cx="542925" cy="219075"/>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1200" b="0" i="0" u="none" strike="noStrike" baseline="0">
              <a:solidFill>
                <a:srgbClr val="000000"/>
              </a:solidFill>
              <a:latin typeface="ＭＳ 明朝"/>
              <a:ea typeface="ＭＳ 明朝"/>
            </a:rPr>
            <a:t>(g1)</a:t>
          </a:r>
        </a:p>
      </xdr:txBody>
    </xdr:sp>
    <xdr:clientData/>
  </xdr:twoCellAnchor>
  <xdr:twoCellAnchor>
    <xdr:from>
      <xdr:col>6</xdr:col>
      <xdr:colOff>0</xdr:colOff>
      <xdr:row>44</xdr:row>
      <xdr:rowOff>0</xdr:rowOff>
    </xdr:from>
    <xdr:to>
      <xdr:col>6</xdr:col>
      <xdr:colOff>536612</xdr:colOff>
      <xdr:row>44</xdr:row>
      <xdr:rowOff>219075</xdr:rowOff>
    </xdr:to>
    <xdr:sp macro="" textlink="">
      <xdr:nvSpPr>
        <xdr:cNvPr id="6243" name="Text Box 99">
          <a:extLst>
            <a:ext uri="{FF2B5EF4-FFF2-40B4-BE49-F238E27FC236}">
              <a16:creationId xmlns:a16="http://schemas.microsoft.com/office/drawing/2014/main" id="{70A5DEDF-97D8-457D-8602-0573E4FD85B6}"/>
            </a:ext>
          </a:extLst>
        </xdr:cNvPr>
        <xdr:cNvSpPr txBox="1">
          <a:spLocks noChangeArrowheads="1"/>
        </xdr:cNvSpPr>
      </xdr:nvSpPr>
      <xdr:spPr bwMode="auto">
        <a:xfrm>
          <a:off x="5000625" y="13944600"/>
          <a:ext cx="542925" cy="219075"/>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1200" b="0" i="0" u="none" strike="noStrike" baseline="0">
              <a:solidFill>
                <a:srgbClr val="000000"/>
              </a:solidFill>
              <a:latin typeface="ＭＳ 明朝"/>
              <a:ea typeface="ＭＳ 明朝"/>
            </a:rPr>
            <a:t>(G)</a:t>
          </a:r>
        </a:p>
      </xdr:txBody>
    </xdr:sp>
    <xdr:clientData/>
  </xdr:twoCellAnchor>
  <xdr:twoCellAnchor>
    <xdr:from>
      <xdr:col>0</xdr:col>
      <xdr:colOff>333375</xdr:colOff>
      <xdr:row>52</xdr:row>
      <xdr:rowOff>0</xdr:rowOff>
    </xdr:from>
    <xdr:to>
      <xdr:col>1</xdr:col>
      <xdr:colOff>784225</xdr:colOff>
      <xdr:row>52</xdr:row>
      <xdr:rowOff>219075</xdr:rowOff>
    </xdr:to>
    <xdr:sp macro="" textlink="">
      <xdr:nvSpPr>
        <xdr:cNvPr id="6245" name="Text Box 101">
          <a:extLst>
            <a:ext uri="{FF2B5EF4-FFF2-40B4-BE49-F238E27FC236}">
              <a16:creationId xmlns:a16="http://schemas.microsoft.com/office/drawing/2014/main" id="{1C05C3F5-CAFF-4642-AA73-86BEEA67A5B4}"/>
            </a:ext>
          </a:extLst>
        </xdr:cNvPr>
        <xdr:cNvSpPr txBox="1">
          <a:spLocks noChangeArrowheads="1"/>
        </xdr:cNvSpPr>
      </xdr:nvSpPr>
      <xdr:spPr bwMode="auto">
        <a:xfrm>
          <a:off x="333375" y="16497300"/>
          <a:ext cx="800100" cy="219075"/>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1200" b="0" i="0" u="none" strike="noStrike" baseline="0">
              <a:solidFill>
                <a:srgbClr val="000000"/>
              </a:solidFill>
              <a:latin typeface="ＭＳ 明朝"/>
              <a:ea typeface="ＭＳ 明朝"/>
            </a:rPr>
            <a:t>(B⑦-B⑥)</a:t>
          </a:r>
        </a:p>
      </xdr:txBody>
    </xdr:sp>
    <xdr:clientData/>
  </xdr:twoCellAnchor>
  <xdr:twoCellAnchor>
    <xdr:from>
      <xdr:col>3</xdr:col>
      <xdr:colOff>0</xdr:colOff>
      <xdr:row>52</xdr:row>
      <xdr:rowOff>0</xdr:rowOff>
    </xdr:from>
    <xdr:to>
      <xdr:col>3</xdr:col>
      <xdr:colOff>536612</xdr:colOff>
      <xdr:row>52</xdr:row>
      <xdr:rowOff>219075</xdr:rowOff>
    </xdr:to>
    <xdr:sp macro="" textlink="">
      <xdr:nvSpPr>
        <xdr:cNvPr id="6246" name="Text Box 102">
          <a:extLst>
            <a:ext uri="{FF2B5EF4-FFF2-40B4-BE49-F238E27FC236}">
              <a16:creationId xmlns:a16="http://schemas.microsoft.com/office/drawing/2014/main" id="{0E89E123-0E53-4152-964B-1E922568F885}"/>
            </a:ext>
          </a:extLst>
        </xdr:cNvPr>
        <xdr:cNvSpPr txBox="1">
          <a:spLocks noChangeArrowheads="1"/>
        </xdr:cNvSpPr>
      </xdr:nvSpPr>
      <xdr:spPr bwMode="auto">
        <a:xfrm>
          <a:off x="2495550" y="16383000"/>
          <a:ext cx="542925" cy="219075"/>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1200" b="0" i="0" u="none" strike="noStrike" baseline="0">
              <a:solidFill>
                <a:srgbClr val="000000"/>
              </a:solidFill>
              <a:latin typeface="ＭＳ 明朝"/>
              <a:ea typeface="ＭＳ 明朝"/>
            </a:rPr>
            <a:t>(i1)</a:t>
          </a:r>
        </a:p>
      </xdr:txBody>
    </xdr:sp>
    <xdr:clientData/>
  </xdr:twoCellAnchor>
  <xdr:twoCellAnchor>
    <xdr:from>
      <xdr:col>6</xdr:col>
      <xdr:colOff>0</xdr:colOff>
      <xdr:row>52</xdr:row>
      <xdr:rowOff>0</xdr:rowOff>
    </xdr:from>
    <xdr:to>
      <xdr:col>6</xdr:col>
      <xdr:colOff>536612</xdr:colOff>
      <xdr:row>52</xdr:row>
      <xdr:rowOff>219075</xdr:rowOff>
    </xdr:to>
    <xdr:sp macro="" textlink="">
      <xdr:nvSpPr>
        <xdr:cNvPr id="6247" name="Text Box 103">
          <a:extLst>
            <a:ext uri="{FF2B5EF4-FFF2-40B4-BE49-F238E27FC236}">
              <a16:creationId xmlns:a16="http://schemas.microsoft.com/office/drawing/2014/main" id="{A10582FF-2ECF-40EE-8ABD-28C875AB90F1}"/>
            </a:ext>
          </a:extLst>
        </xdr:cNvPr>
        <xdr:cNvSpPr txBox="1">
          <a:spLocks noChangeArrowheads="1"/>
        </xdr:cNvSpPr>
      </xdr:nvSpPr>
      <xdr:spPr bwMode="auto">
        <a:xfrm>
          <a:off x="5000625" y="16383000"/>
          <a:ext cx="542925" cy="219075"/>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1200" b="0" i="0" u="none" strike="noStrike" baseline="0">
              <a:solidFill>
                <a:srgbClr val="000000"/>
              </a:solidFill>
              <a:latin typeface="ＭＳ 明朝"/>
              <a:ea typeface="ＭＳ 明朝"/>
            </a:rPr>
            <a:t>(I①)</a:t>
          </a:r>
        </a:p>
      </xdr:txBody>
    </xdr:sp>
    <xdr:clientData/>
  </xdr:twoCellAnchor>
  <xdr:twoCellAnchor>
    <xdr:from>
      <xdr:col>0</xdr:col>
      <xdr:colOff>333375</xdr:colOff>
      <xdr:row>55</xdr:row>
      <xdr:rowOff>0</xdr:rowOff>
    </xdr:from>
    <xdr:to>
      <xdr:col>1</xdr:col>
      <xdr:colOff>536575</xdr:colOff>
      <xdr:row>55</xdr:row>
      <xdr:rowOff>219075</xdr:rowOff>
    </xdr:to>
    <xdr:sp macro="" textlink="">
      <xdr:nvSpPr>
        <xdr:cNvPr id="6249" name="Text Box 105">
          <a:extLst>
            <a:ext uri="{FF2B5EF4-FFF2-40B4-BE49-F238E27FC236}">
              <a16:creationId xmlns:a16="http://schemas.microsoft.com/office/drawing/2014/main" id="{32C16118-0466-4FC9-AF43-5FD51C01AD8D}"/>
            </a:ext>
          </a:extLst>
        </xdr:cNvPr>
        <xdr:cNvSpPr txBox="1">
          <a:spLocks noChangeArrowheads="1"/>
        </xdr:cNvSpPr>
      </xdr:nvSpPr>
      <xdr:spPr bwMode="auto">
        <a:xfrm>
          <a:off x="333375" y="17411700"/>
          <a:ext cx="552450" cy="219075"/>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1200" b="0" i="0" u="none" strike="noStrike" baseline="0">
              <a:solidFill>
                <a:srgbClr val="000000"/>
              </a:solidFill>
              <a:latin typeface="ＭＳ 明朝"/>
              <a:ea typeface="ＭＳ 明朝"/>
            </a:rPr>
            <a:t>(B⑥)</a:t>
          </a:r>
        </a:p>
      </xdr:txBody>
    </xdr:sp>
    <xdr:clientData/>
  </xdr:twoCellAnchor>
  <xdr:twoCellAnchor>
    <xdr:from>
      <xdr:col>3</xdr:col>
      <xdr:colOff>0</xdr:colOff>
      <xdr:row>55</xdr:row>
      <xdr:rowOff>0</xdr:rowOff>
    </xdr:from>
    <xdr:to>
      <xdr:col>3</xdr:col>
      <xdr:colOff>536612</xdr:colOff>
      <xdr:row>55</xdr:row>
      <xdr:rowOff>219075</xdr:rowOff>
    </xdr:to>
    <xdr:sp macro="" textlink="">
      <xdr:nvSpPr>
        <xdr:cNvPr id="6250" name="Text Box 106">
          <a:extLst>
            <a:ext uri="{FF2B5EF4-FFF2-40B4-BE49-F238E27FC236}">
              <a16:creationId xmlns:a16="http://schemas.microsoft.com/office/drawing/2014/main" id="{E8729F27-F124-4926-9371-5079B728D9B3}"/>
            </a:ext>
          </a:extLst>
        </xdr:cNvPr>
        <xdr:cNvSpPr txBox="1">
          <a:spLocks noChangeArrowheads="1"/>
        </xdr:cNvSpPr>
      </xdr:nvSpPr>
      <xdr:spPr bwMode="auto">
        <a:xfrm>
          <a:off x="2495550" y="17297400"/>
          <a:ext cx="542925" cy="219075"/>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1200" b="0" i="0" u="none" strike="noStrike" baseline="0">
              <a:solidFill>
                <a:srgbClr val="000000"/>
              </a:solidFill>
              <a:latin typeface="ＭＳ 明朝"/>
              <a:ea typeface="ＭＳ 明朝"/>
            </a:rPr>
            <a:t>(i2)</a:t>
          </a:r>
        </a:p>
      </xdr:txBody>
    </xdr:sp>
    <xdr:clientData/>
  </xdr:twoCellAnchor>
  <xdr:twoCellAnchor>
    <xdr:from>
      <xdr:col>6</xdr:col>
      <xdr:colOff>0</xdr:colOff>
      <xdr:row>55</xdr:row>
      <xdr:rowOff>0</xdr:rowOff>
    </xdr:from>
    <xdr:to>
      <xdr:col>6</xdr:col>
      <xdr:colOff>536612</xdr:colOff>
      <xdr:row>55</xdr:row>
      <xdr:rowOff>219075</xdr:rowOff>
    </xdr:to>
    <xdr:sp macro="" textlink="">
      <xdr:nvSpPr>
        <xdr:cNvPr id="6251" name="Text Box 107">
          <a:extLst>
            <a:ext uri="{FF2B5EF4-FFF2-40B4-BE49-F238E27FC236}">
              <a16:creationId xmlns:a16="http://schemas.microsoft.com/office/drawing/2014/main" id="{75489E40-198D-4AFC-9F9C-C1F4E1F92383}"/>
            </a:ext>
          </a:extLst>
        </xdr:cNvPr>
        <xdr:cNvSpPr txBox="1">
          <a:spLocks noChangeArrowheads="1"/>
        </xdr:cNvSpPr>
      </xdr:nvSpPr>
      <xdr:spPr bwMode="auto">
        <a:xfrm>
          <a:off x="5000625" y="17297400"/>
          <a:ext cx="542925" cy="219075"/>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1200" b="0" i="0" u="none" strike="noStrike" baseline="0">
              <a:solidFill>
                <a:srgbClr val="000000"/>
              </a:solidFill>
              <a:latin typeface="ＭＳ 明朝"/>
              <a:ea typeface="ＭＳ 明朝"/>
            </a:rPr>
            <a:t>(I②)</a:t>
          </a:r>
        </a:p>
      </xdr:txBody>
    </xdr:sp>
    <xdr:clientData/>
  </xdr:twoCellAnchor>
  <xdr:twoCellAnchor>
    <xdr:from>
      <xdr:col>1</xdr:col>
      <xdr:colOff>0</xdr:colOff>
      <xdr:row>61</xdr:row>
      <xdr:rowOff>0</xdr:rowOff>
    </xdr:from>
    <xdr:to>
      <xdr:col>1</xdr:col>
      <xdr:colOff>441370</xdr:colOff>
      <xdr:row>61</xdr:row>
      <xdr:rowOff>219075</xdr:rowOff>
    </xdr:to>
    <xdr:sp macro="" textlink="">
      <xdr:nvSpPr>
        <xdr:cNvPr id="6253" name="Text Box 109">
          <a:extLst>
            <a:ext uri="{FF2B5EF4-FFF2-40B4-BE49-F238E27FC236}">
              <a16:creationId xmlns:a16="http://schemas.microsoft.com/office/drawing/2014/main" id="{692BC845-BB51-4B6B-9223-45D163626F24}"/>
            </a:ext>
          </a:extLst>
        </xdr:cNvPr>
        <xdr:cNvSpPr txBox="1">
          <a:spLocks noChangeArrowheads="1"/>
        </xdr:cNvSpPr>
      </xdr:nvSpPr>
      <xdr:spPr bwMode="auto">
        <a:xfrm>
          <a:off x="342900" y="19202400"/>
          <a:ext cx="447675" cy="219075"/>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1200" b="0" i="0" u="none" strike="noStrike" baseline="0">
              <a:solidFill>
                <a:srgbClr val="000000"/>
              </a:solidFill>
              <a:latin typeface="ＭＳ 明朝"/>
              <a:ea typeface="ＭＳ 明朝"/>
            </a:rPr>
            <a:t>(j1)</a:t>
          </a:r>
        </a:p>
      </xdr:txBody>
    </xdr:sp>
    <xdr:clientData/>
  </xdr:twoCellAnchor>
  <xdr:twoCellAnchor>
    <xdr:from>
      <xdr:col>2</xdr:col>
      <xdr:colOff>742950</xdr:colOff>
      <xdr:row>61</xdr:row>
      <xdr:rowOff>0</xdr:rowOff>
    </xdr:from>
    <xdr:to>
      <xdr:col>3</xdr:col>
      <xdr:colOff>533400</xdr:colOff>
      <xdr:row>61</xdr:row>
      <xdr:rowOff>219075</xdr:rowOff>
    </xdr:to>
    <xdr:sp macro="" textlink="">
      <xdr:nvSpPr>
        <xdr:cNvPr id="6254" name="Text Box 110">
          <a:extLst>
            <a:ext uri="{FF2B5EF4-FFF2-40B4-BE49-F238E27FC236}">
              <a16:creationId xmlns:a16="http://schemas.microsoft.com/office/drawing/2014/main" id="{23E40E0E-63C2-4E98-A56D-D11EE992F0D1}"/>
            </a:ext>
          </a:extLst>
        </xdr:cNvPr>
        <xdr:cNvSpPr txBox="1">
          <a:spLocks noChangeArrowheads="1"/>
        </xdr:cNvSpPr>
      </xdr:nvSpPr>
      <xdr:spPr bwMode="auto">
        <a:xfrm>
          <a:off x="2495550" y="19202400"/>
          <a:ext cx="533400" cy="219075"/>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1200" b="0" i="0" u="none" strike="noStrike" baseline="0">
              <a:solidFill>
                <a:srgbClr val="000000"/>
              </a:solidFill>
              <a:latin typeface="ＭＳ 明朝"/>
              <a:ea typeface="ＭＳ 明朝"/>
            </a:rPr>
            <a:t>(j2)</a:t>
          </a:r>
        </a:p>
      </xdr:txBody>
    </xdr:sp>
    <xdr:clientData/>
  </xdr:twoCellAnchor>
  <xdr:twoCellAnchor>
    <xdr:from>
      <xdr:col>6</xdr:col>
      <xdr:colOff>0</xdr:colOff>
      <xdr:row>61</xdr:row>
      <xdr:rowOff>0</xdr:rowOff>
    </xdr:from>
    <xdr:to>
      <xdr:col>6</xdr:col>
      <xdr:colOff>536612</xdr:colOff>
      <xdr:row>61</xdr:row>
      <xdr:rowOff>219075</xdr:rowOff>
    </xdr:to>
    <xdr:sp macro="" textlink="">
      <xdr:nvSpPr>
        <xdr:cNvPr id="6255" name="Text Box 111">
          <a:extLst>
            <a:ext uri="{FF2B5EF4-FFF2-40B4-BE49-F238E27FC236}">
              <a16:creationId xmlns:a16="http://schemas.microsoft.com/office/drawing/2014/main" id="{9A77A439-1B97-4E18-A833-ED695D5406BE}"/>
            </a:ext>
          </a:extLst>
        </xdr:cNvPr>
        <xdr:cNvSpPr txBox="1">
          <a:spLocks noChangeArrowheads="1"/>
        </xdr:cNvSpPr>
      </xdr:nvSpPr>
      <xdr:spPr bwMode="auto">
        <a:xfrm>
          <a:off x="5000625" y="19202400"/>
          <a:ext cx="542925" cy="219075"/>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1200" b="0" i="0" u="none" strike="noStrike" baseline="0">
              <a:solidFill>
                <a:srgbClr val="000000"/>
              </a:solidFill>
              <a:latin typeface="ＭＳ 明朝"/>
              <a:ea typeface="ＭＳ 明朝"/>
            </a:rPr>
            <a:t>(J)</a:t>
          </a:r>
        </a:p>
      </xdr:txBody>
    </xdr:sp>
    <xdr:clientData/>
  </xdr:twoCellAnchor>
  <xdr:twoCellAnchor>
    <xdr:from>
      <xdr:col>1</xdr:col>
      <xdr:colOff>0</xdr:colOff>
      <xdr:row>70</xdr:row>
      <xdr:rowOff>0</xdr:rowOff>
    </xdr:from>
    <xdr:to>
      <xdr:col>1</xdr:col>
      <xdr:colOff>403274</xdr:colOff>
      <xdr:row>70</xdr:row>
      <xdr:rowOff>212816</xdr:rowOff>
    </xdr:to>
    <xdr:sp macro="" textlink="">
      <xdr:nvSpPr>
        <xdr:cNvPr id="6257" name="Text Box 113">
          <a:extLst>
            <a:ext uri="{FF2B5EF4-FFF2-40B4-BE49-F238E27FC236}">
              <a16:creationId xmlns:a16="http://schemas.microsoft.com/office/drawing/2014/main" id="{2D6A5C90-CAF2-4801-8B47-534342041DA3}"/>
            </a:ext>
          </a:extLst>
        </xdr:cNvPr>
        <xdr:cNvSpPr txBox="1">
          <a:spLocks noChangeArrowheads="1"/>
        </xdr:cNvSpPr>
      </xdr:nvSpPr>
      <xdr:spPr bwMode="auto">
        <a:xfrm>
          <a:off x="342900" y="22059900"/>
          <a:ext cx="409575" cy="219075"/>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1200" b="0" i="0" u="none" strike="noStrike" baseline="0">
              <a:solidFill>
                <a:srgbClr val="000000"/>
              </a:solidFill>
              <a:latin typeface="ＭＳ 明朝"/>
              <a:ea typeface="ＭＳ 明朝"/>
            </a:rPr>
            <a:t>(L)</a:t>
          </a:r>
        </a:p>
      </xdr:txBody>
    </xdr:sp>
    <xdr:clientData/>
  </xdr:twoCellAnchor>
  <xdr:twoCellAnchor>
    <xdr:from>
      <xdr:col>3</xdr:col>
      <xdr:colOff>0</xdr:colOff>
      <xdr:row>70</xdr:row>
      <xdr:rowOff>0</xdr:rowOff>
    </xdr:from>
    <xdr:to>
      <xdr:col>3</xdr:col>
      <xdr:colOff>536612</xdr:colOff>
      <xdr:row>70</xdr:row>
      <xdr:rowOff>212816</xdr:rowOff>
    </xdr:to>
    <xdr:sp macro="" textlink="">
      <xdr:nvSpPr>
        <xdr:cNvPr id="6258" name="Text Box 114">
          <a:extLst>
            <a:ext uri="{FF2B5EF4-FFF2-40B4-BE49-F238E27FC236}">
              <a16:creationId xmlns:a16="http://schemas.microsoft.com/office/drawing/2014/main" id="{A7ED7C34-CBC7-4891-8FA1-42DAE528F4C0}"/>
            </a:ext>
          </a:extLst>
        </xdr:cNvPr>
        <xdr:cNvSpPr txBox="1">
          <a:spLocks noChangeArrowheads="1"/>
        </xdr:cNvSpPr>
      </xdr:nvSpPr>
      <xdr:spPr bwMode="auto">
        <a:xfrm>
          <a:off x="2495550" y="22059900"/>
          <a:ext cx="542925" cy="219075"/>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1200" b="0" i="0" u="none" strike="noStrike" baseline="0">
              <a:solidFill>
                <a:srgbClr val="000000"/>
              </a:solidFill>
              <a:latin typeface="ＭＳ 明朝"/>
              <a:ea typeface="ＭＳ 明朝"/>
            </a:rPr>
            <a:t>(k1)</a:t>
          </a:r>
        </a:p>
      </xdr:txBody>
    </xdr:sp>
    <xdr:clientData/>
  </xdr:twoCellAnchor>
  <xdr:twoCellAnchor>
    <xdr:from>
      <xdr:col>6</xdr:col>
      <xdr:colOff>0</xdr:colOff>
      <xdr:row>70</xdr:row>
      <xdr:rowOff>0</xdr:rowOff>
    </xdr:from>
    <xdr:to>
      <xdr:col>6</xdr:col>
      <xdr:colOff>536612</xdr:colOff>
      <xdr:row>70</xdr:row>
      <xdr:rowOff>212816</xdr:rowOff>
    </xdr:to>
    <xdr:sp macro="" textlink="">
      <xdr:nvSpPr>
        <xdr:cNvPr id="6259" name="Text Box 115">
          <a:extLst>
            <a:ext uri="{FF2B5EF4-FFF2-40B4-BE49-F238E27FC236}">
              <a16:creationId xmlns:a16="http://schemas.microsoft.com/office/drawing/2014/main" id="{A499B77F-97B8-45F8-B3DD-D889489B4DE6}"/>
            </a:ext>
          </a:extLst>
        </xdr:cNvPr>
        <xdr:cNvSpPr txBox="1">
          <a:spLocks noChangeArrowheads="1"/>
        </xdr:cNvSpPr>
      </xdr:nvSpPr>
      <xdr:spPr bwMode="auto">
        <a:xfrm>
          <a:off x="5000625" y="22059900"/>
          <a:ext cx="542925" cy="219075"/>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1200" b="0" i="0" u="none" strike="noStrike" baseline="0">
              <a:solidFill>
                <a:srgbClr val="000000"/>
              </a:solidFill>
              <a:latin typeface="ＭＳ 明朝"/>
              <a:ea typeface="ＭＳ 明朝"/>
            </a:rPr>
            <a:t>(K①)</a:t>
          </a:r>
        </a:p>
      </xdr:txBody>
    </xdr:sp>
    <xdr:clientData/>
  </xdr:twoCellAnchor>
  <xdr:twoCellAnchor>
    <xdr:from>
      <xdr:col>5</xdr:col>
      <xdr:colOff>0</xdr:colOff>
      <xdr:row>70</xdr:row>
      <xdr:rowOff>0</xdr:rowOff>
    </xdr:from>
    <xdr:to>
      <xdr:col>5</xdr:col>
      <xdr:colOff>384226</xdr:colOff>
      <xdr:row>70</xdr:row>
      <xdr:rowOff>212816</xdr:rowOff>
    </xdr:to>
    <xdr:sp macro="" textlink="">
      <xdr:nvSpPr>
        <xdr:cNvPr id="6260" name="Text Box 116">
          <a:extLst>
            <a:ext uri="{FF2B5EF4-FFF2-40B4-BE49-F238E27FC236}">
              <a16:creationId xmlns:a16="http://schemas.microsoft.com/office/drawing/2014/main" id="{2987C800-14E3-47C4-B865-666B06BC33F4}"/>
            </a:ext>
          </a:extLst>
        </xdr:cNvPr>
        <xdr:cNvSpPr txBox="1">
          <a:spLocks noChangeArrowheads="1"/>
        </xdr:cNvSpPr>
      </xdr:nvSpPr>
      <xdr:spPr bwMode="auto">
        <a:xfrm>
          <a:off x="4191000" y="22059900"/>
          <a:ext cx="390525" cy="219075"/>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1200" b="0" i="0" u="none" strike="noStrike" baseline="0">
              <a:solidFill>
                <a:srgbClr val="000000"/>
              </a:solidFill>
              <a:latin typeface="ＭＳ 明朝"/>
              <a:ea typeface="ＭＳ 明朝"/>
            </a:rPr>
            <a:t>(k2)</a:t>
          </a:r>
        </a:p>
      </xdr:txBody>
    </xdr:sp>
    <xdr:clientData/>
  </xdr:twoCellAnchor>
  <xdr:twoCellAnchor>
    <xdr:from>
      <xdr:col>1</xdr:col>
      <xdr:colOff>0</xdr:colOff>
      <xdr:row>78</xdr:row>
      <xdr:rowOff>0</xdr:rowOff>
    </xdr:from>
    <xdr:to>
      <xdr:col>1</xdr:col>
      <xdr:colOff>593758</xdr:colOff>
      <xdr:row>78</xdr:row>
      <xdr:rowOff>219075</xdr:rowOff>
    </xdr:to>
    <xdr:sp macro="" textlink="">
      <xdr:nvSpPr>
        <xdr:cNvPr id="6262" name="Text Box 118">
          <a:extLst>
            <a:ext uri="{FF2B5EF4-FFF2-40B4-BE49-F238E27FC236}">
              <a16:creationId xmlns:a16="http://schemas.microsoft.com/office/drawing/2014/main" id="{90239848-6ABB-4169-B982-FF8706E05143}"/>
            </a:ext>
          </a:extLst>
        </xdr:cNvPr>
        <xdr:cNvSpPr txBox="1">
          <a:spLocks noChangeArrowheads="1"/>
        </xdr:cNvSpPr>
      </xdr:nvSpPr>
      <xdr:spPr bwMode="auto">
        <a:xfrm>
          <a:off x="342900" y="23317200"/>
          <a:ext cx="600075" cy="219075"/>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1200" b="0" i="0" u="none" strike="noStrike" baseline="0">
              <a:solidFill>
                <a:srgbClr val="000000"/>
              </a:solidFill>
              <a:latin typeface="ＭＳ 明朝"/>
              <a:ea typeface="ＭＳ 明朝"/>
            </a:rPr>
            <a:t>(K①)</a:t>
          </a:r>
        </a:p>
      </xdr:txBody>
    </xdr:sp>
    <xdr:clientData/>
  </xdr:twoCellAnchor>
  <xdr:twoCellAnchor>
    <xdr:from>
      <xdr:col>3</xdr:col>
      <xdr:colOff>0</xdr:colOff>
      <xdr:row>78</xdr:row>
      <xdr:rowOff>0</xdr:rowOff>
    </xdr:from>
    <xdr:to>
      <xdr:col>3</xdr:col>
      <xdr:colOff>536612</xdr:colOff>
      <xdr:row>78</xdr:row>
      <xdr:rowOff>219075</xdr:rowOff>
    </xdr:to>
    <xdr:sp macro="" textlink="">
      <xdr:nvSpPr>
        <xdr:cNvPr id="6263" name="Text Box 119">
          <a:extLst>
            <a:ext uri="{FF2B5EF4-FFF2-40B4-BE49-F238E27FC236}">
              <a16:creationId xmlns:a16="http://schemas.microsoft.com/office/drawing/2014/main" id="{F11CB9C0-7EEC-42F4-ADE6-A0A0CE83EF1C}"/>
            </a:ext>
          </a:extLst>
        </xdr:cNvPr>
        <xdr:cNvSpPr txBox="1">
          <a:spLocks noChangeArrowheads="1"/>
        </xdr:cNvSpPr>
      </xdr:nvSpPr>
      <xdr:spPr bwMode="auto">
        <a:xfrm>
          <a:off x="2495550" y="23317200"/>
          <a:ext cx="542925" cy="219075"/>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1200" b="0" i="0" u="none" strike="noStrike" baseline="0">
              <a:solidFill>
                <a:srgbClr val="000000"/>
              </a:solidFill>
              <a:latin typeface="ＭＳ 明朝"/>
              <a:ea typeface="ＭＳ 明朝"/>
            </a:rPr>
            <a:t>(k4)</a:t>
          </a:r>
        </a:p>
      </xdr:txBody>
    </xdr:sp>
    <xdr:clientData/>
  </xdr:twoCellAnchor>
  <xdr:twoCellAnchor>
    <xdr:from>
      <xdr:col>6</xdr:col>
      <xdr:colOff>0</xdr:colOff>
      <xdr:row>78</xdr:row>
      <xdr:rowOff>0</xdr:rowOff>
    </xdr:from>
    <xdr:to>
      <xdr:col>6</xdr:col>
      <xdr:colOff>536612</xdr:colOff>
      <xdr:row>78</xdr:row>
      <xdr:rowOff>219075</xdr:rowOff>
    </xdr:to>
    <xdr:sp macro="" textlink="">
      <xdr:nvSpPr>
        <xdr:cNvPr id="6264" name="Text Box 120">
          <a:extLst>
            <a:ext uri="{FF2B5EF4-FFF2-40B4-BE49-F238E27FC236}">
              <a16:creationId xmlns:a16="http://schemas.microsoft.com/office/drawing/2014/main" id="{BA6CB21A-A970-43C4-9C17-99CEB0F01BA8}"/>
            </a:ext>
          </a:extLst>
        </xdr:cNvPr>
        <xdr:cNvSpPr txBox="1">
          <a:spLocks noChangeArrowheads="1"/>
        </xdr:cNvSpPr>
      </xdr:nvSpPr>
      <xdr:spPr bwMode="auto">
        <a:xfrm>
          <a:off x="5000625" y="23317200"/>
          <a:ext cx="542925" cy="219075"/>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1200" b="0" i="0" u="none" strike="noStrike" baseline="0">
              <a:solidFill>
                <a:srgbClr val="000000"/>
              </a:solidFill>
              <a:latin typeface="ＭＳ 明朝"/>
              <a:ea typeface="ＭＳ 明朝"/>
            </a:rPr>
            <a:t>(K</a:t>
          </a:r>
          <a:r>
            <a:rPr lang="ja-JP" altLang="en-US" sz="1200" b="0" i="0" u="none" strike="noStrike" baseline="0">
              <a:solidFill>
                <a:srgbClr val="000000"/>
              </a:solidFill>
              <a:latin typeface="ＭＳ 明朝"/>
              <a:ea typeface="ＭＳ 明朝"/>
            </a:rPr>
            <a:t>③</a:t>
          </a:r>
          <a:r>
            <a:rPr lang="en-US" altLang="ja-JP" sz="1200" b="0" i="0" u="none" strike="noStrike" baseline="0">
              <a:solidFill>
                <a:srgbClr val="000000"/>
              </a:solidFill>
              <a:latin typeface="ＭＳ 明朝"/>
              <a:ea typeface="ＭＳ 明朝"/>
            </a:rPr>
            <a:t>)</a:t>
          </a:r>
        </a:p>
      </xdr:txBody>
    </xdr:sp>
    <xdr:clientData/>
  </xdr:twoCellAnchor>
  <xdr:twoCellAnchor>
    <xdr:from>
      <xdr:col>1</xdr:col>
      <xdr:colOff>0</xdr:colOff>
      <xdr:row>87</xdr:row>
      <xdr:rowOff>0</xdr:rowOff>
    </xdr:from>
    <xdr:to>
      <xdr:col>1</xdr:col>
      <xdr:colOff>381000</xdr:colOff>
      <xdr:row>87</xdr:row>
      <xdr:rowOff>200025</xdr:rowOff>
    </xdr:to>
    <xdr:sp macro="" textlink="">
      <xdr:nvSpPr>
        <xdr:cNvPr id="6266" name="Text Box 122">
          <a:extLst>
            <a:ext uri="{FF2B5EF4-FFF2-40B4-BE49-F238E27FC236}">
              <a16:creationId xmlns:a16="http://schemas.microsoft.com/office/drawing/2014/main" id="{3FF173F5-9D7C-49D5-9A5C-6A4A93FF3849}"/>
            </a:ext>
          </a:extLst>
        </xdr:cNvPr>
        <xdr:cNvSpPr txBox="1">
          <a:spLocks noChangeArrowheads="1"/>
        </xdr:cNvSpPr>
      </xdr:nvSpPr>
      <xdr:spPr bwMode="auto">
        <a:xfrm>
          <a:off x="342900" y="26365200"/>
          <a:ext cx="381000" cy="200025"/>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1200" b="0" i="0" u="none" strike="noStrike" baseline="0">
              <a:solidFill>
                <a:srgbClr val="000000"/>
              </a:solidFill>
              <a:latin typeface="ＭＳ 明朝"/>
              <a:ea typeface="ＭＳ 明朝"/>
            </a:rPr>
            <a:t>(B)</a:t>
          </a:r>
        </a:p>
      </xdr:txBody>
    </xdr:sp>
    <xdr:clientData/>
  </xdr:twoCellAnchor>
  <xdr:twoCellAnchor>
    <xdr:from>
      <xdr:col>3</xdr:col>
      <xdr:colOff>0</xdr:colOff>
      <xdr:row>87</xdr:row>
      <xdr:rowOff>0</xdr:rowOff>
    </xdr:from>
    <xdr:to>
      <xdr:col>3</xdr:col>
      <xdr:colOff>536612</xdr:colOff>
      <xdr:row>87</xdr:row>
      <xdr:rowOff>219075</xdr:rowOff>
    </xdr:to>
    <xdr:sp macro="" textlink="">
      <xdr:nvSpPr>
        <xdr:cNvPr id="6267" name="Text Box 123">
          <a:extLst>
            <a:ext uri="{FF2B5EF4-FFF2-40B4-BE49-F238E27FC236}">
              <a16:creationId xmlns:a16="http://schemas.microsoft.com/office/drawing/2014/main" id="{EC8C5FD8-A8CC-46B1-9B4F-77C4F86E78FF}"/>
            </a:ext>
          </a:extLst>
        </xdr:cNvPr>
        <xdr:cNvSpPr txBox="1">
          <a:spLocks noChangeArrowheads="1"/>
        </xdr:cNvSpPr>
      </xdr:nvSpPr>
      <xdr:spPr bwMode="auto">
        <a:xfrm>
          <a:off x="2495550" y="26365200"/>
          <a:ext cx="542925" cy="219075"/>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1200" b="0" i="0" u="none" strike="noStrike" baseline="0">
              <a:solidFill>
                <a:srgbClr val="000000"/>
              </a:solidFill>
              <a:latin typeface="ＭＳ 明朝"/>
              <a:ea typeface="ＭＳ 明朝"/>
            </a:rPr>
            <a:t>(l1)</a:t>
          </a:r>
        </a:p>
      </xdr:txBody>
    </xdr:sp>
    <xdr:clientData/>
  </xdr:twoCellAnchor>
  <xdr:twoCellAnchor>
    <xdr:from>
      <xdr:col>6</xdr:col>
      <xdr:colOff>0</xdr:colOff>
      <xdr:row>87</xdr:row>
      <xdr:rowOff>0</xdr:rowOff>
    </xdr:from>
    <xdr:to>
      <xdr:col>6</xdr:col>
      <xdr:colOff>536612</xdr:colOff>
      <xdr:row>87</xdr:row>
      <xdr:rowOff>219075</xdr:rowOff>
    </xdr:to>
    <xdr:sp macro="" textlink="">
      <xdr:nvSpPr>
        <xdr:cNvPr id="6268" name="Text Box 124">
          <a:extLst>
            <a:ext uri="{FF2B5EF4-FFF2-40B4-BE49-F238E27FC236}">
              <a16:creationId xmlns:a16="http://schemas.microsoft.com/office/drawing/2014/main" id="{2E843F75-EA87-4B40-860F-0097EB8AC405}"/>
            </a:ext>
          </a:extLst>
        </xdr:cNvPr>
        <xdr:cNvSpPr txBox="1">
          <a:spLocks noChangeArrowheads="1"/>
        </xdr:cNvSpPr>
      </xdr:nvSpPr>
      <xdr:spPr bwMode="auto">
        <a:xfrm>
          <a:off x="5000625" y="26365200"/>
          <a:ext cx="542925" cy="219075"/>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1200" b="0" i="0" u="none" strike="noStrike" baseline="0">
              <a:solidFill>
                <a:srgbClr val="000000"/>
              </a:solidFill>
              <a:latin typeface="ＭＳ 明朝"/>
              <a:ea typeface="ＭＳ 明朝"/>
            </a:rPr>
            <a:t>(L)</a:t>
          </a:r>
        </a:p>
      </xdr:txBody>
    </xdr:sp>
    <xdr:clientData/>
  </xdr:twoCellAnchor>
  <xdr:twoCellAnchor>
    <xdr:from>
      <xdr:col>0</xdr:col>
      <xdr:colOff>333375</xdr:colOff>
      <xdr:row>34</xdr:row>
      <xdr:rowOff>44450</xdr:rowOff>
    </xdr:from>
    <xdr:to>
      <xdr:col>1</xdr:col>
      <xdr:colOff>441325</xdr:colOff>
      <xdr:row>34</xdr:row>
      <xdr:rowOff>263525</xdr:rowOff>
    </xdr:to>
    <xdr:sp macro="" textlink="">
      <xdr:nvSpPr>
        <xdr:cNvPr id="6278" name="Text Box 134">
          <a:extLst>
            <a:ext uri="{FF2B5EF4-FFF2-40B4-BE49-F238E27FC236}">
              <a16:creationId xmlns:a16="http://schemas.microsoft.com/office/drawing/2014/main" id="{EE6675D6-70F4-4A67-92A8-FC49D6A88A4A}"/>
            </a:ext>
          </a:extLst>
        </xdr:cNvPr>
        <xdr:cNvSpPr txBox="1">
          <a:spLocks noChangeArrowheads="1"/>
        </xdr:cNvSpPr>
      </xdr:nvSpPr>
      <xdr:spPr bwMode="auto">
        <a:xfrm>
          <a:off x="333375" y="10521950"/>
          <a:ext cx="450850" cy="219075"/>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1200" b="0" i="0" u="none" strike="noStrike" baseline="0">
              <a:solidFill>
                <a:srgbClr val="000000"/>
              </a:solidFill>
              <a:latin typeface="ＭＳ 明朝"/>
              <a:ea typeface="ＭＳ 明朝"/>
            </a:rPr>
            <a:t>(f1)</a:t>
          </a:r>
        </a:p>
      </xdr:txBody>
    </xdr:sp>
    <xdr:clientData/>
  </xdr:twoCellAnchor>
  <xdr:twoCellAnchor>
    <xdr:from>
      <xdr:col>1</xdr:col>
      <xdr:colOff>0</xdr:colOff>
      <xdr:row>74</xdr:row>
      <xdr:rowOff>0</xdr:rowOff>
    </xdr:from>
    <xdr:to>
      <xdr:col>1</xdr:col>
      <xdr:colOff>403274</xdr:colOff>
      <xdr:row>74</xdr:row>
      <xdr:rowOff>219075</xdr:rowOff>
    </xdr:to>
    <xdr:sp macro="" textlink="">
      <xdr:nvSpPr>
        <xdr:cNvPr id="57" name="Text Box 113">
          <a:extLst>
            <a:ext uri="{FF2B5EF4-FFF2-40B4-BE49-F238E27FC236}">
              <a16:creationId xmlns:a16="http://schemas.microsoft.com/office/drawing/2014/main" id="{4A2B759C-9A08-4AB2-BB25-C9BFDBECAB74}"/>
            </a:ext>
          </a:extLst>
        </xdr:cNvPr>
        <xdr:cNvSpPr txBox="1">
          <a:spLocks noChangeArrowheads="1"/>
        </xdr:cNvSpPr>
      </xdr:nvSpPr>
      <xdr:spPr bwMode="auto">
        <a:xfrm>
          <a:off x="342472" y="22902809"/>
          <a:ext cx="409575" cy="219075"/>
        </a:xfrm>
        <a:prstGeom prst="rect">
          <a:avLst/>
        </a:prstGeom>
        <a:noFill/>
        <a:ln w="9525">
          <a:noFill/>
          <a:miter lim="800000"/>
          <a:headEnd/>
          <a:tailEnd/>
        </a:ln>
      </xdr:spPr>
      <xdr:txBody>
        <a:bodyPr vertOverflow="clip" wrap="square" lIns="27432" tIns="18288" rIns="0" bIns="0" anchor="t" upright="1"/>
        <a:lstStyle/>
        <a:p>
          <a:pPr marL="0" marR="0" indent="0" algn="l" defTabSz="914400" rtl="0" eaLnBrk="1" fontAlgn="auto" latinLnBrk="0" hangingPunct="1">
            <a:lnSpc>
              <a:spcPts val="1500"/>
            </a:lnSpc>
            <a:spcBef>
              <a:spcPts val="0"/>
            </a:spcBef>
            <a:spcAft>
              <a:spcPts val="0"/>
            </a:spcAft>
            <a:buClrTx/>
            <a:buSzTx/>
            <a:buFontTx/>
            <a:buNone/>
            <a:tabLst/>
            <a:defRPr sz="1000"/>
          </a:pPr>
          <a:r>
            <a:rPr lang="en-US" altLang="ja-JP" sz="1200" b="0" i="0" baseline="0">
              <a:latin typeface="ＭＳ 明朝" pitchFamily="17" charset="-128"/>
              <a:ea typeface="ＭＳ 明朝" pitchFamily="17" charset="-128"/>
              <a:cs typeface="+mn-cs"/>
            </a:rPr>
            <a:t>(K①)</a:t>
          </a:r>
          <a:endParaRPr lang="ja-JP" altLang="ja-JP" sz="1200">
            <a:latin typeface="ＭＳ 明朝" pitchFamily="17" charset="-128"/>
            <a:ea typeface="ＭＳ 明朝" pitchFamily="17" charset="-128"/>
          </a:endParaRPr>
        </a:p>
        <a:p>
          <a:pPr algn="l" rtl="0">
            <a:lnSpc>
              <a:spcPts val="1400"/>
            </a:lnSpc>
            <a:defRPr sz="1000"/>
          </a:pPr>
          <a:endParaRPr lang="en-US" altLang="ja-JP" sz="1200" b="0" i="0" u="none" strike="noStrike" baseline="0">
            <a:solidFill>
              <a:srgbClr val="000000"/>
            </a:solidFill>
            <a:latin typeface="ＭＳ 明朝"/>
            <a:ea typeface="ＭＳ 明朝"/>
          </a:endParaRPr>
        </a:p>
      </xdr:txBody>
    </xdr:sp>
    <xdr:clientData/>
  </xdr:twoCellAnchor>
  <xdr:twoCellAnchor>
    <xdr:from>
      <xdr:col>3</xdr:col>
      <xdr:colOff>0</xdr:colOff>
      <xdr:row>74</xdr:row>
      <xdr:rowOff>0</xdr:rowOff>
    </xdr:from>
    <xdr:to>
      <xdr:col>3</xdr:col>
      <xdr:colOff>536612</xdr:colOff>
      <xdr:row>74</xdr:row>
      <xdr:rowOff>219075</xdr:rowOff>
    </xdr:to>
    <xdr:sp macro="" textlink="">
      <xdr:nvSpPr>
        <xdr:cNvPr id="58" name="Text Box 114">
          <a:extLst>
            <a:ext uri="{FF2B5EF4-FFF2-40B4-BE49-F238E27FC236}">
              <a16:creationId xmlns:a16="http://schemas.microsoft.com/office/drawing/2014/main" id="{3B944366-7882-4D17-A6E7-8EEF1FCF6EC8}"/>
            </a:ext>
          </a:extLst>
        </xdr:cNvPr>
        <xdr:cNvSpPr txBox="1">
          <a:spLocks noChangeArrowheads="1"/>
        </xdr:cNvSpPr>
      </xdr:nvSpPr>
      <xdr:spPr bwMode="auto">
        <a:xfrm>
          <a:off x="2493624" y="21875393"/>
          <a:ext cx="542925" cy="219075"/>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1200" b="0" i="0" u="none" strike="noStrike" baseline="0">
              <a:solidFill>
                <a:srgbClr val="000000"/>
              </a:solidFill>
              <a:latin typeface="ＭＳ 明朝"/>
              <a:ea typeface="ＭＳ 明朝"/>
            </a:rPr>
            <a:t>(k3)</a:t>
          </a:r>
        </a:p>
      </xdr:txBody>
    </xdr:sp>
    <xdr:clientData/>
  </xdr:twoCellAnchor>
  <xdr:twoCellAnchor>
    <xdr:from>
      <xdr:col>6</xdr:col>
      <xdr:colOff>0</xdr:colOff>
      <xdr:row>74</xdr:row>
      <xdr:rowOff>0</xdr:rowOff>
    </xdr:from>
    <xdr:to>
      <xdr:col>6</xdr:col>
      <xdr:colOff>536612</xdr:colOff>
      <xdr:row>74</xdr:row>
      <xdr:rowOff>219075</xdr:rowOff>
    </xdr:to>
    <xdr:sp macro="" textlink="">
      <xdr:nvSpPr>
        <xdr:cNvPr id="59" name="Text Box 115">
          <a:extLst>
            <a:ext uri="{FF2B5EF4-FFF2-40B4-BE49-F238E27FC236}">
              <a16:creationId xmlns:a16="http://schemas.microsoft.com/office/drawing/2014/main" id="{DF001A35-8748-4821-A136-38DB9DC9881D}"/>
            </a:ext>
          </a:extLst>
        </xdr:cNvPr>
        <xdr:cNvSpPr txBox="1">
          <a:spLocks noChangeArrowheads="1"/>
        </xdr:cNvSpPr>
      </xdr:nvSpPr>
      <xdr:spPr bwMode="auto">
        <a:xfrm>
          <a:off x="4997949" y="21875393"/>
          <a:ext cx="542925" cy="219075"/>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1200" b="0" i="0" u="none" strike="noStrike" baseline="0">
              <a:solidFill>
                <a:srgbClr val="000000"/>
              </a:solidFill>
              <a:latin typeface="ＭＳ 明朝"/>
              <a:ea typeface="ＭＳ 明朝"/>
            </a:rPr>
            <a:t>(K</a:t>
          </a:r>
          <a:r>
            <a:rPr lang="ja-JP" altLang="en-US" sz="1200" b="0" i="0" u="none" strike="noStrike" baseline="0">
              <a:solidFill>
                <a:srgbClr val="000000"/>
              </a:solidFill>
              <a:latin typeface="ＭＳ 明朝"/>
              <a:ea typeface="ＭＳ 明朝"/>
            </a:rPr>
            <a:t>②</a:t>
          </a:r>
          <a:r>
            <a:rPr lang="en-US" altLang="ja-JP" sz="1200" b="0" i="0" u="none" strike="noStrike" baseline="0">
              <a:solidFill>
                <a:srgbClr val="000000"/>
              </a:solidFill>
              <a:latin typeface="ＭＳ 明朝"/>
              <a:ea typeface="ＭＳ 明朝"/>
            </a:rPr>
            <a:t>)</a:t>
          </a:r>
        </a:p>
      </xdr:txBody>
    </xdr:sp>
    <xdr:clientData/>
  </xdr:twoCellAnchor>
  <xdr:twoCellAnchor>
    <xdr:from>
      <xdr:col>6</xdr:col>
      <xdr:colOff>0</xdr:colOff>
      <xdr:row>74</xdr:row>
      <xdr:rowOff>0</xdr:rowOff>
    </xdr:from>
    <xdr:to>
      <xdr:col>6</xdr:col>
      <xdr:colOff>536612</xdr:colOff>
      <xdr:row>74</xdr:row>
      <xdr:rowOff>219075</xdr:rowOff>
    </xdr:to>
    <xdr:sp macro="" textlink="">
      <xdr:nvSpPr>
        <xdr:cNvPr id="65" name="Text Box 120">
          <a:extLst>
            <a:ext uri="{FF2B5EF4-FFF2-40B4-BE49-F238E27FC236}">
              <a16:creationId xmlns:a16="http://schemas.microsoft.com/office/drawing/2014/main" id="{1980A1ED-7119-43BB-A56F-862523A3BD1A}"/>
            </a:ext>
          </a:extLst>
        </xdr:cNvPr>
        <xdr:cNvSpPr txBox="1">
          <a:spLocks noChangeArrowheads="1"/>
        </xdr:cNvSpPr>
      </xdr:nvSpPr>
      <xdr:spPr bwMode="auto">
        <a:xfrm>
          <a:off x="5000625" y="24745950"/>
          <a:ext cx="542925" cy="219075"/>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1200" b="0" i="0" u="none" strike="noStrike" baseline="0">
              <a:solidFill>
                <a:srgbClr val="000000"/>
              </a:solidFill>
              <a:latin typeface="ＭＳ 明朝"/>
              <a:ea typeface="ＭＳ 明朝"/>
            </a:rPr>
            <a:t>(K</a:t>
          </a:r>
          <a:r>
            <a:rPr lang="ja-JP" altLang="en-US" sz="1200" b="0" i="0" u="none" strike="noStrike" baseline="0">
              <a:solidFill>
                <a:srgbClr val="000000"/>
              </a:solidFill>
              <a:latin typeface="ＭＳ 明朝"/>
              <a:ea typeface="ＭＳ 明朝"/>
            </a:rPr>
            <a:t>③</a:t>
          </a:r>
          <a:r>
            <a:rPr lang="en-US" altLang="ja-JP" sz="1200" b="0" i="0" u="none" strike="noStrike" baseline="0">
              <a:solidFill>
                <a:srgbClr val="000000"/>
              </a:solidFill>
              <a:latin typeface="ＭＳ 明朝"/>
              <a:ea typeface="ＭＳ 明朝"/>
            </a:rPr>
            <a:t>)</a:t>
          </a:r>
        </a:p>
      </xdr:txBody>
    </xdr:sp>
    <xdr:clientData/>
  </xdr:twoCellAnchor>
  <xdr:twoCellAnchor>
    <xdr:from>
      <xdr:col>1</xdr:col>
      <xdr:colOff>0</xdr:colOff>
      <xdr:row>74</xdr:row>
      <xdr:rowOff>0</xdr:rowOff>
    </xdr:from>
    <xdr:to>
      <xdr:col>1</xdr:col>
      <xdr:colOff>593758</xdr:colOff>
      <xdr:row>74</xdr:row>
      <xdr:rowOff>219075</xdr:rowOff>
    </xdr:to>
    <xdr:sp macro="" textlink="">
      <xdr:nvSpPr>
        <xdr:cNvPr id="66" name="Text Box 118">
          <a:extLst>
            <a:ext uri="{FF2B5EF4-FFF2-40B4-BE49-F238E27FC236}">
              <a16:creationId xmlns:a16="http://schemas.microsoft.com/office/drawing/2014/main" id="{5B8CCBC5-1263-4DF6-9D11-AA8E6A503884}"/>
            </a:ext>
          </a:extLst>
        </xdr:cNvPr>
        <xdr:cNvSpPr txBox="1">
          <a:spLocks noChangeArrowheads="1"/>
        </xdr:cNvSpPr>
      </xdr:nvSpPr>
      <xdr:spPr bwMode="auto">
        <a:xfrm>
          <a:off x="342900" y="24745950"/>
          <a:ext cx="600075" cy="219075"/>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1200" b="0" i="0" u="none" strike="noStrike" baseline="0">
              <a:solidFill>
                <a:srgbClr val="000000"/>
              </a:solidFill>
              <a:latin typeface="ＭＳ 明朝"/>
              <a:ea typeface="ＭＳ 明朝"/>
            </a:rPr>
            <a:t>(K①)</a:t>
          </a:r>
        </a:p>
      </xdr:txBody>
    </xdr:sp>
    <xdr:clientData/>
  </xdr:twoCellAnchor>
  <xdr:twoCellAnchor>
    <xdr:from>
      <xdr:col>4</xdr:col>
      <xdr:colOff>0</xdr:colOff>
      <xdr:row>44</xdr:row>
      <xdr:rowOff>0</xdr:rowOff>
    </xdr:from>
    <xdr:to>
      <xdr:col>4</xdr:col>
      <xdr:colOff>542925</xdr:colOff>
      <xdr:row>44</xdr:row>
      <xdr:rowOff>219075</xdr:rowOff>
    </xdr:to>
    <xdr:sp macro="" textlink="">
      <xdr:nvSpPr>
        <xdr:cNvPr id="62" name="Text Box 98">
          <a:extLst>
            <a:ext uri="{FF2B5EF4-FFF2-40B4-BE49-F238E27FC236}">
              <a16:creationId xmlns:a16="http://schemas.microsoft.com/office/drawing/2014/main" id="{58855FFD-2FF2-4881-A75F-4C9D4B0C709C}"/>
            </a:ext>
          </a:extLst>
        </xdr:cNvPr>
        <xdr:cNvSpPr txBox="1">
          <a:spLocks noChangeArrowheads="1"/>
        </xdr:cNvSpPr>
      </xdr:nvSpPr>
      <xdr:spPr bwMode="auto">
        <a:xfrm>
          <a:off x="2495550" y="14049375"/>
          <a:ext cx="542925" cy="219075"/>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1200" b="0" i="0" u="none" strike="noStrike" baseline="0">
              <a:solidFill>
                <a:srgbClr val="000000"/>
              </a:solidFill>
              <a:latin typeface="ＭＳ 明朝"/>
              <a:ea typeface="ＭＳ 明朝"/>
            </a:rPr>
            <a:t>(g2)</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19</xdr:row>
      <xdr:rowOff>9525</xdr:rowOff>
    </xdr:from>
    <xdr:to>
      <xdr:col>4</xdr:col>
      <xdr:colOff>0</xdr:colOff>
      <xdr:row>21</xdr:row>
      <xdr:rowOff>9525</xdr:rowOff>
    </xdr:to>
    <xdr:sp macro="" textlink="">
      <xdr:nvSpPr>
        <xdr:cNvPr id="35208" name="Line 1">
          <a:extLst>
            <a:ext uri="{FF2B5EF4-FFF2-40B4-BE49-F238E27FC236}">
              <a16:creationId xmlns:a16="http://schemas.microsoft.com/office/drawing/2014/main" id="{958EC28F-CB99-4C5F-BE61-E9931F91CDAC}"/>
            </a:ext>
          </a:extLst>
        </xdr:cNvPr>
        <xdr:cNvSpPr>
          <a:spLocks noChangeShapeType="1"/>
        </xdr:cNvSpPr>
      </xdr:nvSpPr>
      <xdr:spPr bwMode="auto">
        <a:xfrm>
          <a:off x="428625" y="5248275"/>
          <a:ext cx="1895475" cy="5334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10</xdr:row>
      <xdr:rowOff>0</xdr:rowOff>
    </xdr:from>
    <xdr:to>
      <xdr:col>4</xdr:col>
      <xdr:colOff>0</xdr:colOff>
      <xdr:row>12</xdr:row>
      <xdr:rowOff>0</xdr:rowOff>
    </xdr:to>
    <xdr:sp macro="" textlink="">
      <xdr:nvSpPr>
        <xdr:cNvPr id="35209" name="Line 2">
          <a:extLst>
            <a:ext uri="{FF2B5EF4-FFF2-40B4-BE49-F238E27FC236}">
              <a16:creationId xmlns:a16="http://schemas.microsoft.com/office/drawing/2014/main" id="{AD5F11AB-2EF8-4912-B832-188E8C4468AE}"/>
            </a:ext>
          </a:extLst>
        </xdr:cNvPr>
        <xdr:cNvSpPr>
          <a:spLocks noChangeShapeType="1"/>
        </xdr:cNvSpPr>
      </xdr:nvSpPr>
      <xdr:spPr bwMode="auto">
        <a:xfrm>
          <a:off x="428625" y="2667000"/>
          <a:ext cx="1895475" cy="5334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17</xdr:row>
      <xdr:rowOff>0</xdr:rowOff>
    </xdr:from>
    <xdr:to>
      <xdr:col>6</xdr:col>
      <xdr:colOff>555661</xdr:colOff>
      <xdr:row>17</xdr:row>
      <xdr:rowOff>209550</xdr:rowOff>
    </xdr:to>
    <xdr:sp macro="" textlink="">
      <xdr:nvSpPr>
        <xdr:cNvPr id="3085" name="Text Box 13">
          <a:extLst>
            <a:ext uri="{FF2B5EF4-FFF2-40B4-BE49-F238E27FC236}">
              <a16:creationId xmlns:a16="http://schemas.microsoft.com/office/drawing/2014/main" id="{C0641E76-2BFD-440B-8F50-BAC4ABC204F0}"/>
            </a:ext>
          </a:extLst>
        </xdr:cNvPr>
        <xdr:cNvSpPr txBox="1">
          <a:spLocks noChangeArrowheads="1"/>
        </xdr:cNvSpPr>
      </xdr:nvSpPr>
      <xdr:spPr bwMode="auto">
        <a:xfrm>
          <a:off x="4552950" y="4629150"/>
          <a:ext cx="561975" cy="20955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1200" b="0" i="0" u="none" strike="noStrike" baseline="0">
              <a:solidFill>
                <a:srgbClr val="000000"/>
              </a:solidFill>
              <a:latin typeface="ＭＳ 明朝"/>
              <a:ea typeface="ＭＳ 明朝"/>
            </a:rPr>
            <a:t>(B①)</a:t>
          </a:r>
        </a:p>
      </xdr:txBody>
    </xdr:sp>
    <xdr:clientData/>
  </xdr:twoCellAnchor>
  <xdr:twoCellAnchor>
    <xdr:from>
      <xdr:col>4</xdr:col>
      <xdr:colOff>0</xdr:colOff>
      <xdr:row>5</xdr:row>
      <xdr:rowOff>3175</xdr:rowOff>
    </xdr:from>
    <xdr:to>
      <xdr:col>4</xdr:col>
      <xdr:colOff>498515</xdr:colOff>
      <xdr:row>5</xdr:row>
      <xdr:rowOff>232208</xdr:rowOff>
    </xdr:to>
    <xdr:sp macro="" textlink="">
      <xdr:nvSpPr>
        <xdr:cNvPr id="3090" name="Text Box 18">
          <a:extLst>
            <a:ext uri="{FF2B5EF4-FFF2-40B4-BE49-F238E27FC236}">
              <a16:creationId xmlns:a16="http://schemas.microsoft.com/office/drawing/2014/main" id="{D07E1EDC-FA7C-4B59-8C43-D85FF1620D7F}"/>
            </a:ext>
          </a:extLst>
        </xdr:cNvPr>
        <xdr:cNvSpPr txBox="1">
          <a:spLocks noChangeArrowheads="1"/>
        </xdr:cNvSpPr>
      </xdr:nvSpPr>
      <xdr:spPr bwMode="auto">
        <a:xfrm>
          <a:off x="2324100" y="1343025"/>
          <a:ext cx="504825" cy="219075"/>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1200" b="0" i="0" u="none" strike="noStrike" baseline="0">
              <a:solidFill>
                <a:srgbClr val="000000"/>
              </a:solidFill>
              <a:latin typeface="ＭＳ 明朝"/>
              <a:ea typeface="ＭＳ 明朝"/>
            </a:rPr>
            <a:t>(a2)</a:t>
          </a:r>
        </a:p>
      </xdr:txBody>
    </xdr:sp>
    <xdr:clientData/>
  </xdr:twoCellAnchor>
  <xdr:twoCellAnchor>
    <xdr:from>
      <xdr:col>0</xdr:col>
      <xdr:colOff>0</xdr:colOff>
      <xdr:row>5</xdr:row>
      <xdr:rowOff>0</xdr:rowOff>
    </xdr:from>
    <xdr:to>
      <xdr:col>1</xdr:col>
      <xdr:colOff>57270</xdr:colOff>
      <xdr:row>5</xdr:row>
      <xdr:rowOff>212816</xdr:rowOff>
    </xdr:to>
    <xdr:sp macro="" textlink="">
      <xdr:nvSpPr>
        <xdr:cNvPr id="3091" name="Text Box 19">
          <a:extLst>
            <a:ext uri="{FF2B5EF4-FFF2-40B4-BE49-F238E27FC236}">
              <a16:creationId xmlns:a16="http://schemas.microsoft.com/office/drawing/2014/main" id="{389A25F0-B334-4C82-9BFE-1E9ACCA75446}"/>
            </a:ext>
          </a:extLst>
        </xdr:cNvPr>
        <xdr:cNvSpPr txBox="1">
          <a:spLocks noChangeArrowheads="1"/>
        </xdr:cNvSpPr>
      </xdr:nvSpPr>
      <xdr:spPr bwMode="auto">
        <a:xfrm>
          <a:off x="0" y="1333500"/>
          <a:ext cx="495300" cy="219075"/>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1200" b="0" i="0" u="none" strike="noStrike" baseline="0">
              <a:solidFill>
                <a:srgbClr val="000000"/>
              </a:solidFill>
              <a:latin typeface="ＭＳ 明朝"/>
              <a:ea typeface="ＭＳ 明朝"/>
            </a:rPr>
            <a:t>(a1)</a:t>
          </a:r>
        </a:p>
      </xdr:txBody>
    </xdr:sp>
    <xdr:clientData/>
  </xdr:twoCellAnchor>
  <xdr:twoCellAnchor>
    <xdr:from>
      <xdr:col>6</xdr:col>
      <xdr:colOff>0</xdr:colOff>
      <xdr:row>5</xdr:row>
      <xdr:rowOff>3175</xdr:rowOff>
    </xdr:from>
    <xdr:to>
      <xdr:col>6</xdr:col>
      <xdr:colOff>346132</xdr:colOff>
      <xdr:row>5</xdr:row>
      <xdr:rowOff>232208</xdr:rowOff>
    </xdr:to>
    <xdr:sp macro="" textlink="">
      <xdr:nvSpPr>
        <xdr:cNvPr id="3092" name="Text Box 20">
          <a:extLst>
            <a:ext uri="{FF2B5EF4-FFF2-40B4-BE49-F238E27FC236}">
              <a16:creationId xmlns:a16="http://schemas.microsoft.com/office/drawing/2014/main" id="{5217268B-3B4D-4E22-AA3B-0095246F510F}"/>
            </a:ext>
          </a:extLst>
        </xdr:cNvPr>
        <xdr:cNvSpPr txBox="1">
          <a:spLocks noChangeArrowheads="1"/>
        </xdr:cNvSpPr>
      </xdr:nvSpPr>
      <xdr:spPr bwMode="auto">
        <a:xfrm>
          <a:off x="4552950" y="1343025"/>
          <a:ext cx="352425" cy="219075"/>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1200" b="0" i="0" u="none" strike="noStrike" baseline="0">
              <a:solidFill>
                <a:srgbClr val="000000"/>
              </a:solidFill>
              <a:latin typeface="ＭＳ 明朝"/>
              <a:ea typeface="ＭＳ 明朝"/>
            </a:rPr>
            <a:t>(A)</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200025</xdr:colOff>
      <xdr:row>17</xdr:row>
      <xdr:rowOff>0</xdr:rowOff>
    </xdr:from>
    <xdr:to>
      <xdr:col>0</xdr:col>
      <xdr:colOff>762000</xdr:colOff>
      <xdr:row>18</xdr:row>
      <xdr:rowOff>38100</xdr:rowOff>
    </xdr:to>
    <xdr:sp macro="" textlink="">
      <xdr:nvSpPr>
        <xdr:cNvPr id="17629" name="Rectangle 2">
          <a:extLst>
            <a:ext uri="{FF2B5EF4-FFF2-40B4-BE49-F238E27FC236}">
              <a16:creationId xmlns:a16="http://schemas.microsoft.com/office/drawing/2014/main" id="{37247DBA-6AE2-47FD-85AB-58078B1AB604}"/>
            </a:ext>
          </a:extLst>
        </xdr:cNvPr>
        <xdr:cNvSpPr>
          <a:spLocks noChangeArrowheads="1"/>
        </xdr:cNvSpPr>
      </xdr:nvSpPr>
      <xdr:spPr bwMode="auto">
        <a:xfrm>
          <a:off x="200025" y="5057775"/>
          <a:ext cx="561975" cy="219075"/>
        </a:xfrm>
        <a:prstGeom prst="rect">
          <a:avLst/>
        </a:prstGeom>
        <a:solidFill>
          <a:srgbClr val="FFFF99"/>
        </a:solidFill>
        <a:ln w="9525" algn="ctr">
          <a:solidFill>
            <a:srgbClr val="000000"/>
          </a:solidFill>
          <a:miter lim="800000"/>
          <a:headEnd/>
          <a:tailEnd/>
        </a:ln>
      </xdr:spPr>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581025</xdr:colOff>
      <xdr:row>20</xdr:row>
      <xdr:rowOff>28575</xdr:rowOff>
    </xdr:from>
    <xdr:to>
      <xdr:col>1</xdr:col>
      <xdr:colOff>2247900</xdr:colOff>
      <xdr:row>20</xdr:row>
      <xdr:rowOff>28575</xdr:rowOff>
    </xdr:to>
    <xdr:sp macro="" textlink="">
      <xdr:nvSpPr>
        <xdr:cNvPr id="9882" name="Line 1">
          <a:extLst>
            <a:ext uri="{FF2B5EF4-FFF2-40B4-BE49-F238E27FC236}">
              <a16:creationId xmlns:a16="http://schemas.microsoft.com/office/drawing/2014/main" id="{A8DFFEFB-5250-4867-9DAD-03B5B247D9C1}"/>
            </a:ext>
          </a:extLst>
        </xdr:cNvPr>
        <xdr:cNvSpPr>
          <a:spLocks noChangeShapeType="1"/>
        </xdr:cNvSpPr>
      </xdr:nvSpPr>
      <xdr:spPr bwMode="auto">
        <a:xfrm>
          <a:off x="1400175" y="5810250"/>
          <a:ext cx="16668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28575</xdr:colOff>
      <xdr:row>19</xdr:row>
      <xdr:rowOff>149225</xdr:rowOff>
    </xdr:from>
    <xdr:to>
      <xdr:col>1</xdr:col>
      <xdr:colOff>533400</xdr:colOff>
      <xdr:row>20</xdr:row>
      <xdr:rowOff>225332</xdr:rowOff>
    </xdr:to>
    <xdr:sp macro="" textlink="">
      <xdr:nvSpPr>
        <xdr:cNvPr id="9218" name="Text Box 2">
          <a:extLst>
            <a:ext uri="{FF2B5EF4-FFF2-40B4-BE49-F238E27FC236}">
              <a16:creationId xmlns:a16="http://schemas.microsoft.com/office/drawing/2014/main" id="{CCEC45AD-290A-456E-9B66-EE71E534200D}"/>
            </a:ext>
          </a:extLst>
        </xdr:cNvPr>
        <xdr:cNvSpPr txBox="1">
          <a:spLocks noChangeArrowheads="1"/>
        </xdr:cNvSpPr>
      </xdr:nvSpPr>
      <xdr:spPr bwMode="auto">
        <a:xfrm>
          <a:off x="847725" y="5686425"/>
          <a:ext cx="504825"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ゴシック"/>
              <a:ea typeface="ＭＳ Ｐゴシック"/>
            </a:rPr>
            <a:t>Ｙ ＝</a:t>
          </a:r>
        </a:p>
      </xdr:txBody>
    </xdr:sp>
    <xdr:clientData/>
  </xdr:twoCellAnchor>
  <xdr:twoCellAnchor>
    <xdr:from>
      <xdr:col>2</xdr:col>
      <xdr:colOff>1228725</xdr:colOff>
      <xdr:row>20</xdr:row>
      <xdr:rowOff>9525</xdr:rowOff>
    </xdr:from>
    <xdr:to>
      <xdr:col>2</xdr:col>
      <xdr:colOff>2257425</xdr:colOff>
      <xdr:row>20</xdr:row>
      <xdr:rowOff>9525</xdr:rowOff>
    </xdr:to>
    <xdr:sp macro="" textlink="">
      <xdr:nvSpPr>
        <xdr:cNvPr id="9884" name="Line 3">
          <a:extLst>
            <a:ext uri="{FF2B5EF4-FFF2-40B4-BE49-F238E27FC236}">
              <a16:creationId xmlns:a16="http://schemas.microsoft.com/office/drawing/2014/main" id="{5BCBBDA3-F54A-4032-8207-CFDC9D978CA4}"/>
            </a:ext>
          </a:extLst>
        </xdr:cNvPr>
        <xdr:cNvSpPr>
          <a:spLocks noChangeShapeType="1"/>
        </xdr:cNvSpPr>
      </xdr:nvSpPr>
      <xdr:spPr bwMode="auto">
        <a:xfrm>
          <a:off x="4333875" y="5791200"/>
          <a:ext cx="1028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8.xml><?xml version="1.0" encoding="utf-8"?>
<xdr:wsDr xmlns:xdr="http://schemas.openxmlformats.org/drawingml/2006/spreadsheetDrawing" xmlns:a="http://schemas.openxmlformats.org/drawingml/2006/main">
  <xdr:twoCellAnchor>
    <xdr:from>
      <xdr:col>18</xdr:col>
      <xdr:colOff>28575</xdr:colOff>
      <xdr:row>26</xdr:row>
      <xdr:rowOff>200025</xdr:rowOff>
    </xdr:from>
    <xdr:to>
      <xdr:col>21</xdr:col>
      <xdr:colOff>28575</xdr:colOff>
      <xdr:row>27</xdr:row>
      <xdr:rowOff>733425</xdr:rowOff>
    </xdr:to>
    <xdr:sp macro="" textlink="">
      <xdr:nvSpPr>
        <xdr:cNvPr id="11539" name="Line 1">
          <a:extLst>
            <a:ext uri="{FF2B5EF4-FFF2-40B4-BE49-F238E27FC236}">
              <a16:creationId xmlns:a16="http://schemas.microsoft.com/office/drawing/2014/main" id="{E64824D0-FC56-40C4-9BA2-8A17474E2522}"/>
            </a:ext>
          </a:extLst>
        </xdr:cNvPr>
        <xdr:cNvSpPr>
          <a:spLocks noChangeShapeType="1"/>
        </xdr:cNvSpPr>
      </xdr:nvSpPr>
      <xdr:spPr bwMode="auto">
        <a:xfrm>
          <a:off x="14373225" y="5314950"/>
          <a:ext cx="2457450" cy="7429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9.xml><?xml version="1.0" encoding="utf-8"?>
<xdr:wsDr xmlns:xdr="http://schemas.openxmlformats.org/drawingml/2006/spreadsheetDrawing" xmlns:a="http://schemas.openxmlformats.org/drawingml/2006/main">
  <xdr:twoCellAnchor>
    <xdr:from>
      <xdr:col>14</xdr:col>
      <xdr:colOff>0</xdr:colOff>
      <xdr:row>5</xdr:row>
      <xdr:rowOff>0</xdr:rowOff>
    </xdr:from>
    <xdr:to>
      <xdr:col>14</xdr:col>
      <xdr:colOff>0</xdr:colOff>
      <xdr:row>6</xdr:row>
      <xdr:rowOff>0</xdr:rowOff>
    </xdr:to>
    <xdr:sp macro="" textlink="">
      <xdr:nvSpPr>
        <xdr:cNvPr id="2487" name="Line 1">
          <a:extLst>
            <a:ext uri="{FF2B5EF4-FFF2-40B4-BE49-F238E27FC236}">
              <a16:creationId xmlns:a16="http://schemas.microsoft.com/office/drawing/2014/main" id="{87D9D58D-59FE-40E0-AF4A-285D1A28FFE7}"/>
            </a:ext>
          </a:extLst>
        </xdr:cNvPr>
        <xdr:cNvSpPr>
          <a:spLocks noChangeShapeType="1"/>
        </xdr:cNvSpPr>
      </xdr:nvSpPr>
      <xdr:spPr bwMode="auto">
        <a:xfrm flipV="1">
          <a:off x="5772150" y="971550"/>
          <a:ext cx="0" cy="1809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0</xdr:colOff>
      <xdr:row>5</xdr:row>
      <xdr:rowOff>0</xdr:rowOff>
    </xdr:from>
    <xdr:to>
      <xdr:col>12</xdr:col>
      <xdr:colOff>0</xdr:colOff>
      <xdr:row>6</xdr:row>
      <xdr:rowOff>9525</xdr:rowOff>
    </xdr:to>
    <xdr:sp macro="" textlink="">
      <xdr:nvSpPr>
        <xdr:cNvPr id="2488" name="Line 2">
          <a:extLst>
            <a:ext uri="{FF2B5EF4-FFF2-40B4-BE49-F238E27FC236}">
              <a16:creationId xmlns:a16="http://schemas.microsoft.com/office/drawing/2014/main" id="{2C7BC243-D9F6-4E43-B8CA-B5AA5101D100}"/>
            </a:ext>
          </a:extLst>
        </xdr:cNvPr>
        <xdr:cNvSpPr>
          <a:spLocks noChangeShapeType="1"/>
        </xdr:cNvSpPr>
      </xdr:nvSpPr>
      <xdr:spPr bwMode="auto">
        <a:xfrm flipV="1">
          <a:off x="5181600" y="971550"/>
          <a:ext cx="0" cy="1905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12.bin"/><Relationship Id="rId4" Type="http://schemas.openxmlformats.org/officeDocument/2006/relationships/comments" Target="../comments5.xm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24.bin"/><Relationship Id="rId4" Type="http://schemas.openxmlformats.org/officeDocument/2006/relationships/comments" Target="../comments7.xml"/></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6.bin"/><Relationship Id="rId4" Type="http://schemas.openxmlformats.org/officeDocument/2006/relationships/comments" Target="../comments3.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8.bin"/><Relationship Id="rId4" Type="http://schemas.openxmlformats.org/officeDocument/2006/relationships/comments" Target="../comments4.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indexed="10"/>
    <pageSetUpPr autoPageBreaks="0" fitToPage="1"/>
  </sheetPr>
  <dimension ref="A1:AE67"/>
  <sheetViews>
    <sheetView showGridLines="0" tabSelected="1" zoomScaleNormal="100" zoomScaleSheetLayoutView="75" workbookViewId="0"/>
  </sheetViews>
  <sheetFormatPr defaultColWidth="10.75" defaultRowHeight="14"/>
  <cols>
    <col min="1" max="1" width="30" style="1084" customWidth="1"/>
    <col min="2" max="2" width="37.08203125" style="1084" customWidth="1"/>
    <col min="3" max="3" width="11.75" style="1084" customWidth="1"/>
    <col min="4" max="5" width="6.5" style="1084" customWidth="1"/>
    <col min="6" max="6" width="8.58203125" style="1084" customWidth="1"/>
    <col min="7" max="30" width="5" style="1084" customWidth="1"/>
    <col min="31" max="16384" width="10.75" style="1084"/>
  </cols>
  <sheetData>
    <row r="1" spans="1:31" ht="18.75" customHeight="1">
      <c r="A1" s="1082" t="s">
        <v>631</v>
      </c>
      <c r="B1" s="1083" t="s">
        <v>1138</v>
      </c>
      <c r="C1" s="1652">
        <v>43594</v>
      </c>
      <c r="D1" s="1654"/>
      <c r="E1" s="1084" t="s">
        <v>58</v>
      </c>
      <c r="G1" s="1085"/>
      <c r="I1" s="1083" t="s">
        <v>1049</v>
      </c>
      <c r="J1" s="1652">
        <v>43595</v>
      </c>
      <c r="K1" s="1653"/>
      <c r="L1" s="1653"/>
      <c r="M1" s="1654"/>
      <c r="N1" s="1104" t="s">
        <v>1007</v>
      </c>
    </row>
    <row r="2" spans="1:31" ht="19">
      <c r="A2" s="1086"/>
      <c r="B2" s="1087" t="s">
        <v>55</v>
      </c>
      <c r="C2" s="1657" t="s">
        <v>553</v>
      </c>
      <c r="D2" s="1658"/>
      <c r="E2" s="1659"/>
      <c r="F2" s="1660"/>
      <c r="I2" s="1083" t="s">
        <v>1137</v>
      </c>
      <c r="J2" s="1673" t="s">
        <v>555</v>
      </c>
      <c r="K2" s="1674"/>
      <c r="L2" s="1674"/>
      <c r="M2" s="1674"/>
      <c r="N2" s="1675"/>
      <c r="O2" s="1675"/>
      <c r="P2" s="1675"/>
      <c r="Q2" s="1675"/>
      <c r="R2" s="1676"/>
      <c r="S2" s="1088"/>
      <c r="T2" s="1088"/>
      <c r="U2" s="1088"/>
      <c r="V2" s="1088"/>
      <c r="W2" s="1088"/>
      <c r="X2" s="1088"/>
      <c r="Y2" s="1088"/>
    </row>
    <row r="3" spans="1:31">
      <c r="A3" s="1089" t="s">
        <v>75</v>
      </c>
      <c r="B3" s="1090" t="s">
        <v>53</v>
      </c>
      <c r="C3" s="1661" t="s">
        <v>552</v>
      </c>
      <c r="D3" s="1662"/>
      <c r="E3" s="1662"/>
      <c r="F3" s="1663"/>
      <c r="I3" s="1083" t="s">
        <v>56</v>
      </c>
      <c r="J3" s="1661" t="s">
        <v>556</v>
      </c>
      <c r="K3" s="1662"/>
      <c r="L3" s="1662"/>
      <c r="M3" s="1663"/>
      <c r="N3" s="1088"/>
      <c r="O3" s="1088"/>
      <c r="P3" s="1088"/>
      <c r="Q3" s="1088"/>
      <c r="R3" s="1088"/>
      <c r="S3" s="1088"/>
      <c r="T3" s="1088"/>
      <c r="U3" s="1088"/>
      <c r="V3" s="1088"/>
      <c r="W3" s="1088"/>
      <c r="X3" s="1088"/>
      <c r="Y3" s="1088"/>
    </row>
    <row r="4" spans="1:31" ht="17.149999999999999" customHeight="1">
      <c r="A4" s="1089" t="s">
        <v>77</v>
      </c>
      <c r="B4" s="1091" t="s">
        <v>54</v>
      </c>
      <c r="C4" s="1664" t="s">
        <v>554</v>
      </c>
      <c r="D4" s="1665"/>
      <c r="E4" s="1665"/>
      <c r="F4" s="1666"/>
      <c r="G4" s="1092"/>
      <c r="H4" s="1092"/>
      <c r="I4" s="1093" t="s">
        <v>57</v>
      </c>
      <c r="J4" s="1673" t="s">
        <v>557</v>
      </c>
      <c r="K4" s="1677"/>
      <c r="L4" s="1677"/>
      <c r="M4" s="1677"/>
      <c r="N4" s="1675"/>
      <c r="O4" s="1675"/>
      <c r="P4" s="1675"/>
      <c r="Q4" s="1675"/>
      <c r="R4" s="1676"/>
      <c r="S4" s="1088"/>
      <c r="T4" s="1088"/>
      <c r="U4" s="1088"/>
      <c r="V4" s="1088"/>
      <c r="W4" s="1088"/>
      <c r="X4" s="1088"/>
      <c r="Y4" s="1088"/>
    </row>
    <row r="5" spans="1:31" ht="17.149999999999999" customHeight="1">
      <c r="A5" s="1089" t="s">
        <v>80</v>
      </c>
      <c r="B5" s="1094" t="s">
        <v>76</v>
      </c>
      <c r="C5" s="1085"/>
      <c r="H5" s="1085"/>
      <c r="I5" s="1095" t="s">
        <v>57</v>
      </c>
      <c r="J5" s="1027">
        <v>13</v>
      </c>
      <c r="K5" s="1096" t="s">
        <v>1008</v>
      </c>
      <c r="L5" s="1097"/>
      <c r="M5" s="1097"/>
      <c r="N5" s="1098"/>
    </row>
    <row r="6" spans="1:31">
      <c r="A6" s="1089" t="s">
        <v>82</v>
      </c>
      <c r="B6" s="1094" t="s">
        <v>78</v>
      </c>
      <c r="C6" s="1094" t="s">
        <v>79</v>
      </c>
      <c r="D6" s="1099"/>
      <c r="E6" s="1100"/>
      <c r="F6" s="1085"/>
      <c r="G6" s="1099"/>
      <c r="H6" s="1099"/>
      <c r="I6" s="1091" t="s">
        <v>1160</v>
      </c>
      <c r="J6" s="1670" t="s">
        <v>558</v>
      </c>
      <c r="K6" s="1671"/>
      <c r="L6" s="1671"/>
      <c r="M6" s="1672"/>
      <c r="N6" s="1655"/>
      <c r="O6" s="1656"/>
      <c r="P6" s="1656"/>
      <c r="Q6" s="1656"/>
      <c r="R6" s="1656"/>
    </row>
    <row r="7" spans="1:31">
      <c r="A7" s="1089" t="s">
        <v>83</v>
      </c>
      <c r="B7" s="1101" t="s">
        <v>785</v>
      </c>
      <c r="C7" s="1028">
        <v>1</v>
      </c>
      <c r="D7" s="1085" t="s">
        <v>81</v>
      </c>
      <c r="E7" s="1099"/>
      <c r="F7" s="1099"/>
      <c r="G7" s="1099"/>
      <c r="H7" s="1099"/>
      <c r="I7" s="1099"/>
    </row>
    <row r="8" spans="1:31" ht="16" customHeight="1">
      <c r="A8" s="1089" t="s">
        <v>84</v>
      </c>
      <c r="B8" s="1091" t="s">
        <v>33</v>
      </c>
      <c r="C8" s="1102">
        <f>IF(販売量ﾃﾞｰﾀ!K39&gt;0,販売量ﾃﾞｰﾀ!K39,"----------")</f>
        <v>10</v>
      </c>
      <c r="D8" s="1029" t="s">
        <v>1232</v>
      </c>
      <c r="E8" s="1263" t="str">
        <f>IF(AND(D8="Y",OR(G20=0,G21=0)),"※旧特定大口・非規制需要が有る場合は係数販売量を適用できません。",IF(AND(D8="N",C8="----------",C9=0,G20=1,G21=1),"※C9もしくはシート「販売量データ」に販売量を入力してください。",IF(AND(C9&gt;0,OR(G20=0,G21=0)),"※C9を削除し、シート「販売量データ」に入力してください。",IF(AND(D8="N",OR(G20=0,G21=0),C8="----------"),"※シート「販売量データ」に入力してください。",""))))</f>
        <v/>
      </c>
      <c r="F8" s="1099"/>
    </row>
    <row r="9" spans="1:31" ht="16" customHeight="1">
      <c r="A9" s="1089" t="s">
        <v>87</v>
      </c>
      <c r="B9" s="1091" t="s">
        <v>34</v>
      </c>
      <c r="C9" s="1368"/>
      <c r="D9" s="1103"/>
      <c r="E9" s="1085"/>
      <c r="F9" s="1099"/>
      <c r="G9" s="1104" t="s">
        <v>26</v>
      </c>
      <c r="H9" s="1105"/>
      <c r="I9" s="1105"/>
      <c r="J9" s="1105"/>
      <c r="K9" s="1105"/>
      <c r="L9" s="1105"/>
      <c r="M9" s="1105"/>
      <c r="N9" s="1105"/>
      <c r="O9" s="1105"/>
      <c r="P9" s="1105"/>
      <c r="Q9" s="1105"/>
      <c r="R9" s="1105"/>
      <c r="S9" s="1105"/>
      <c r="T9" s="1105"/>
      <c r="U9" s="1105"/>
      <c r="V9" s="1105"/>
      <c r="W9" s="1105"/>
      <c r="X9" s="1105"/>
      <c r="Y9" s="1105"/>
      <c r="Z9" s="1105"/>
      <c r="AA9" s="1105"/>
      <c r="AB9" s="1105"/>
      <c r="AC9" s="1105"/>
      <c r="AD9" s="1105"/>
      <c r="AE9" s="1106"/>
    </row>
    <row r="10" spans="1:31">
      <c r="A10" s="1089" t="s">
        <v>96</v>
      </c>
      <c r="B10" s="1101" t="s">
        <v>85</v>
      </c>
      <c r="C10" s="292">
        <v>100</v>
      </c>
      <c r="D10" s="1107" t="s">
        <v>52</v>
      </c>
      <c r="E10" s="1099"/>
      <c r="F10" s="1099"/>
      <c r="G10" s="1108" t="s">
        <v>86</v>
      </c>
      <c r="H10" s="1109"/>
      <c r="I10" s="1109"/>
      <c r="J10" s="1109"/>
      <c r="K10" s="1109"/>
      <c r="L10" s="1109"/>
      <c r="M10" s="1109"/>
      <c r="N10" s="1109"/>
      <c r="O10" s="1109"/>
      <c r="P10" s="1109"/>
      <c r="Q10" s="1109"/>
      <c r="R10" s="1109"/>
      <c r="S10" s="1109"/>
      <c r="T10" s="1109"/>
      <c r="U10" s="1109"/>
      <c r="V10" s="1109"/>
      <c r="W10" s="1109"/>
      <c r="X10" s="1109"/>
      <c r="Y10" s="1109"/>
      <c r="Z10" s="1109"/>
      <c r="AA10" s="1109"/>
      <c r="AB10" s="1109"/>
      <c r="AC10" s="1109"/>
      <c r="AD10" s="1110"/>
      <c r="AE10" s="1111"/>
    </row>
    <row r="11" spans="1:31">
      <c r="A11" s="1089" t="s">
        <v>97</v>
      </c>
      <c r="B11" s="1101" t="s">
        <v>798</v>
      </c>
      <c r="C11" s="293"/>
      <c r="D11" s="1030">
        <v>13</v>
      </c>
      <c r="E11" s="1112"/>
      <c r="F11" s="1099"/>
      <c r="G11" s="1113" t="s">
        <v>88</v>
      </c>
      <c r="H11" s="1114"/>
      <c r="I11" s="1114"/>
      <c r="J11" s="1115" t="s">
        <v>89</v>
      </c>
      <c r="K11" s="1114"/>
      <c r="L11" s="1116"/>
      <c r="M11" s="1114" t="s">
        <v>90</v>
      </c>
      <c r="N11" s="1114"/>
      <c r="O11" s="1114"/>
      <c r="P11" s="1115" t="s">
        <v>91</v>
      </c>
      <c r="Q11" s="1114"/>
      <c r="R11" s="1116"/>
      <c r="S11" s="1114" t="s">
        <v>92</v>
      </c>
      <c r="T11" s="1114"/>
      <c r="U11" s="1114"/>
      <c r="V11" s="1115" t="s">
        <v>93</v>
      </c>
      <c r="W11" s="1114"/>
      <c r="X11" s="1116"/>
      <c r="Y11" s="1114" t="s">
        <v>94</v>
      </c>
      <c r="Z11" s="1114"/>
      <c r="AA11" s="1114"/>
      <c r="AB11" s="1115" t="s">
        <v>95</v>
      </c>
      <c r="AC11" s="1114"/>
      <c r="AD11" s="1116"/>
      <c r="AE11" s="1111"/>
    </row>
    <row r="12" spans="1:31">
      <c r="A12" s="1089" t="s">
        <v>99</v>
      </c>
      <c r="B12" s="1117" t="s">
        <v>1039</v>
      </c>
      <c r="C12" s="293">
        <v>1</v>
      </c>
      <c r="D12" s="1118" t="s">
        <v>1088</v>
      </c>
      <c r="E12" s="1099" t="s">
        <v>646</v>
      </c>
      <c r="F12" s="1099"/>
      <c r="G12" s="1119" t="s">
        <v>831</v>
      </c>
      <c r="H12" s="1120" t="s">
        <v>832</v>
      </c>
      <c r="I12" s="1121" t="s">
        <v>833</v>
      </c>
      <c r="J12" s="1119" t="s">
        <v>831</v>
      </c>
      <c r="K12" s="1120" t="s">
        <v>832</v>
      </c>
      <c r="L12" s="1121" t="s">
        <v>833</v>
      </c>
      <c r="M12" s="1119" t="s">
        <v>831</v>
      </c>
      <c r="N12" s="1120" t="s">
        <v>832</v>
      </c>
      <c r="O12" s="1121" t="s">
        <v>833</v>
      </c>
      <c r="P12" s="1119" t="s">
        <v>831</v>
      </c>
      <c r="Q12" s="1120" t="s">
        <v>832</v>
      </c>
      <c r="R12" s="1121" t="s">
        <v>833</v>
      </c>
      <c r="S12" s="1119" t="s">
        <v>831</v>
      </c>
      <c r="T12" s="1120" t="s">
        <v>832</v>
      </c>
      <c r="U12" s="1121" t="s">
        <v>833</v>
      </c>
      <c r="V12" s="1119" t="s">
        <v>831</v>
      </c>
      <c r="W12" s="1120" t="s">
        <v>832</v>
      </c>
      <c r="X12" s="1121" t="s">
        <v>833</v>
      </c>
      <c r="Y12" s="1119" t="s">
        <v>831</v>
      </c>
      <c r="Z12" s="1120" t="s">
        <v>832</v>
      </c>
      <c r="AA12" s="1121" t="s">
        <v>833</v>
      </c>
      <c r="AB12" s="1119" t="s">
        <v>831</v>
      </c>
      <c r="AC12" s="1120" t="s">
        <v>832</v>
      </c>
      <c r="AD12" s="1122" t="s">
        <v>833</v>
      </c>
      <c r="AE12" s="1111"/>
    </row>
    <row r="13" spans="1:31">
      <c r="A13" s="1089" t="s">
        <v>101</v>
      </c>
      <c r="B13" s="1101" t="s">
        <v>98</v>
      </c>
      <c r="C13" s="293"/>
      <c r="D13" s="1031"/>
      <c r="E13" s="1032"/>
      <c r="F13" s="1409"/>
      <c r="G13" s="1033"/>
      <c r="H13" s="1034"/>
      <c r="I13" s="1035"/>
      <c r="J13" s="1033"/>
      <c r="K13" s="1034"/>
      <c r="L13" s="1036"/>
      <c r="M13" s="1037"/>
      <c r="N13" s="1034"/>
      <c r="O13" s="1035"/>
      <c r="P13" s="1033"/>
      <c r="Q13" s="1034"/>
      <c r="R13" s="1035"/>
      <c r="S13" s="1033"/>
      <c r="T13" s="1034"/>
      <c r="U13" s="1035"/>
      <c r="V13" s="1033"/>
      <c r="W13" s="1034"/>
      <c r="X13" s="1036"/>
      <c r="Y13" s="1037"/>
      <c r="Z13" s="1034"/>
      <c r="AA13" s="1035"/>
      <c r="AB13" s="1033"/>
      <c r="AC13" s="1034"/>
      <c r="AD13" s="1036"/>
      <c r="AE13" s="1111"/>
    </row>
    <row r="14" spans="1:31">
      <c r="A14" s="1089" t="s">
        <v>103</v>
      </c>
      <c r="B14" s="1135" t="s">
        <v>100</v>
      </c>
      <c r="C14" s="293"/>
      <c r="D14" s="1038"/>
      <c r="E14" s="1039"/>
      <c r="F14" s="1409"/>
      <c r="G14" s="1040"/>
      <c r="H14" s="1041"/>
      <c r="I14" s="1042"/>
      <c r="J14" s="1040"/>
      <c r="K14" s="1041"/>
      <c r="L14" s="1043"/>
      <c r="M14" s="1044"/>
      <c r="N14" s="1041"/>
      <c r="O14" s="1042"/>
      <c r="P14" s="1040"/>
      <c r="Q14" s="1041"/>
      <c r="R14" s="1042"/>
      <c r="S14" s="1040"/>
      <c r="T14" s="1041"/>
      <c r="U14" s="1042"/>
      <c r="V14" s="1040"/>
      <c r="W14" s="1041"/>
      <c r="X14" s="1043"/>
      <c r="Y14" s="1044"/>
      <c r="Z14" s="1041"/>
      <c r="AA14" s="1042"/>
      <c r="AB14" s="1040"/>
      <c r="AC14" s="1041"/>
      <c r="AD14" s="1043"/>
      <c r="AE14" s="1111"/>
    </row>
    <row r="15" spans="1:31">
      <c r="A15" s="1123" t="s">
        <v>451</v>
      </c>
      <c r="B15" s="1101" t="s">
        <v>102</v>
      </c>
      <c r="C15" s="293"/>
      <c r="D15" s="1038"/>
      <c r="E15" s="1039"/>
      <c r="F15" s="1409"/>
      <c r="G15" s="1040"/>
      <c r="H15" s="1041"/>
      <c r="I15" s="1042"/>
      <c r="J15" s="1040"/>
      <c r="K15" s="1041"/>
      <c r="L15" s="1043"/>
      <c r="M15" s="1044"/>
      <c r="N15" s="1041"/>
      <c r="O15" s="1042"/>
      <c r="P15" s="1040"/>
      <c r="Q15" s="1041"/>
      <c r="R15" s="1042"/>
      <c r="S15" s="1040"/>
      <c r="T15" s="1041"/>
      <c r="U15" s="1042"/>
      <c r="V15" s="1040"/>
      <c r="W15" s="1041"/>
      <c r="X15" s="1043"/>
      <c r="Y15" s="1044"/>
      <c r="Z15" s="1041"/>
      <c r="AA15" s="1042"/>
      <c r="AB15" s="1040"/>
      <c r="AC15" s="1041"/>
      <c r="AD15" s="1043"/>
      <c r="AE15" s="1124"/>
    </row>
    <row r="16" spans="1:31">
      <c r="A16" s="1125" t="s">
        <v>243</v>
      </c>
      <c r="B16" s="1101" t="s">
        <v>104</v>
      </c>
      <c r="C16" s="293">
        <v>245</v>
      </c>
      <c r="D16" s="1038">
        <v>1</v>
      </c>
      <c r="E16" s="1039">
        <v>18</v>
      </c>
      <c r="F16" s="1410"/>
      <c r="G16" s="1045"/>
      <c r="H16" s="1046"/>
      <c r="I16" s="1047"/>
      <c r="J16" s="1048"/>
      <c r="K16" s="1046"/>
      <c r="L16" s="1049"/>
      <c r="M16" s="1050"/>
      <c r="N16" s="1046"/>
      <c r="O16" s="1047"/>
      <c r="P16" s="1048"/>
      <c r="Q16" s="1046"/>
      <c r="R16" s="1047"/>
      <c r="S16" s="1048"/>
      <c r="T16" s="1046"/>
      <c r="U16" s="1049"/>
      <c r="V16" s="1048"/>
      <c r="W16" s="1046"/>
      <c r="X16" s="1049"/>
      <c r="Y16" s="1050"/>
      <c r="Z16" s="1046"/>
      <c r="AA16" s="1047"/>
      <c r="AB16" s="1048"/>
      <c r="AC16" s="1046"/>
      <c r="AD16" s="1049"/>
      <c r="AE16" s="1126"/>
    </row>
    <row r="17" spans="1:31">
      <c r="A17" s="1125" t="s">
        <v>519</v>
      </c>
      <c r="B17" s="1101" t="s">
        <v>648</v>
      </c>
      <c r="C17" s="294"/>
      <c r="D17" s="1127" t="s">
        <v>1161</v>
      </c>
      <c r="E17" s="1667">
        <v>43595</v>
      </c>
      <c r="F17" s="1668"/>
      <c r="G17" s="1669"/>
      <c r="H17" s="1262" t="str">
        <f>IF(AND(G13=0,(G13+J13+M13+P13+S13+V13+Y13+AB13)&gt;=1),"※共同住宅（鋼管等）の特殊ケースを左詰めで入力してください。",IF(G13+J13+M13+P13+S13+V13+Y13+AB13&lt;=C13,"","※共同住宅（鋼管等）の地点数（C13・特殊ケース）を確認してください。"))</f>
        <v/>
      </c>
      <c r="S17" s="1098"/>
      <c r="T17" s="1098"/>
      <c r="U17" s="1098"/>
      <c r="V17" s="1098"/>
      <c r="W17" s="1098"/>
      <c r="X17" s="1098"/>
      <c r="Y17" s="1098"/>
      <c r="Z17" s="1098"/>
      <c r="AA17" s="1098"/>
      <c r="AB17" s="1098"/>
      <c r="AC17" s="1098"/>
      <c r="AD17" s="1098"/>
    </row>
    <row r="18" spans="1:31">
      <c r="A18" s="1125" t="s">
        <v>520</v>
      </c>
      <c r="B18" s="1101" t="s">
        <v>644</v>
      </c>
      <c r="C18" s="293"/>
      <c r="D18" s="1129"/>
      <c r="E18" s="1084" t="s">
        <v>1139</v>
      </c>
      <c r="G18" s="1085"/>
      <c r="H18" s="1262" t="str">
        <f>IF(AND(G14=0,(G14+J14+M14+P14+S14+V14+Y14+AB14)&gt;=1),"※共同住宅（ＰＥ管）の特殊ケースを左詰めで入力してください。",IF(G14+J14+M14+P14+S14+V14+Y14+AB14&lt;=C14,"","※共同住宅（ＰＥ管）の地点数（C14・特殊ケース）を確認してください。"))</f>
        <v/>
      </c>
      <c r="I18" s="1092"/>
      <c r="J18" s="1088"/>
      <c r="K18" s="1088"/>
      <c r="L18" s="1088"/>
      <c r="M18" s="1088"/>
      <c r="N18" s="1088"/>
      <c r="O18" s="1088"/>
      <c r="P18" s="1088"/>
      <c r="Q18" s="1088"/>
      <c r="R18" s="1088"/>
      <c r="S18" s="1098"/>
      <c r="T18" s="1098"/>
      <c r="U18" s="1098"/>
      <c r="V18" s="1098"/>
      <c r="W18" s="1098"/>
      <c r="X18" s="1098"/>
      <c r="Y18" s="1098"/>
      <c r="Z18" s="1098"/>
      <c r="AA18" s="1098"/>
      <c r="AB18" s="1098"/>
      <c r="AC18" s="1098"/>
      <c r="AD18" s="1098"/>
    </row>
    <row r="19" spans="1:31">
      <c r="A19" s="1125" t="s">
        <v>1187</v>
      </c>
      <c r="B19" s="1101" t="s">
        <v>645</v>
      </c>
      <c r="C19" s="293"/>
      <c r="D19" s="1129"/>
      <c r="E19" s="1084" t="s">
        <v>22</v>
      </c>
      <c r="G19" s="1099"/>
      <c r="H19" s="1262" t="str">
        <f>IF(AND(G15=0,(G15+J15+M15+P15+S15+V15+Y15+AB15)&gt;=1),"※単独住宅（鋼管等）の特殊ケースを左詰めで入力してください。",IF(G15+J15+M15+P15+S15+V15+Y15+AB15&lt;=C15,"","※単独住宅（鋼管等）の地点数（C15・特殊ケース）を確認してください。"))</f>
        <v/>
      </c>
      <c r="I19" s="1130"/>
      <c r="J19" s="1130"/>
      <c r="K19" s="1130"/>
      <c r="L19" s="1130"/>
      <c r="M19" s="1131"/>
      <c r="N19" s="1131"/>
      <c r="O19" s="1131"/>
      <c r="P19" s="1131"/>
      <c r="Q19" s="1131"/>
      <c r="R19" s="1131"/>
    </row>
    <row r="20" spans="1:31">
      <c r="A20" s="1125" t="s">
        <v>1241</v>
      </c>
      <c r="B20" s="1101" t="s">
        <v>1162</v>
      </c>
      <c r="C20" s="294"/>
      <c r="D20" s="1129"/>
      <c r="E20" s="1099" t="s">
        <v>1192</v>
      </c>
      <c r="F20" s="1099"/>
      <c r="G20" s="1051">
        <v>1</v>
      </c>
      <c r="H20" s="1262" t="str">
        <f>IF(AND(G16=0,(G16+J16+M16+P16+S16+V16+Y16+AB16)&gt;=1),"※単独住宅（ＰＥ管）の特殊ケースを左詰めで入力してください。",IF(G16+J16+M16+P16+S16+V16+Y16+AB16&lt;=C16,"","※単独住宅（ＰＥ管）の地点数（C16・特殊ケース）を確認してください。"))</f>
        <v/>
      </c>
      <c r="I20" s="1131"/>
      <c r="J20" s="1130"/>
      <c r="K20" s="1130"/>
      <c r="L20" s="1130"/>
      <c r="M20" s="1132"/>
      <c r="N20" s="1132"/>
      <c r="O20" s="1132"/>
      <c r="P20" s="1133"/>
      <c r="Q20" s="1134"/>
      <c r="R20" s="1134"/>
    </row>
    <row r="21" spans="1:31">
      <c r="A21" s="1125" t="s">
        <v>1242</v>
      </c>
      <c r="B21" s="1091" t="s">
        <v>106</v>
      </c>
      <c r="C21" s="767"/>
      <c r="D21" s="1129"/>
      <c r="E21" s="1084" t="s">
        <v>1191</v>
      </c>
      <c r="F21" s="1099"/>
      <c r="G21" s="1052">
        <v>1</v>
      </c>
      <c r="H21" s="1098"/>
      <c r="I21" s="1131"/>
      <c r="J21" s="1130"/>
      <c r="K21" s="1130"/>
      <c r="L21" s="1130"/>
      <c r="M21" s="1132"/>
      <c r="N21" s="1132"/>
      <c r="O21" s="1132"/>
      <c r="P21" s="1134"/>
      <c r="Q21" s="1134"/>
      <c r="R21" s="1134"/>
    </row>
    <row r="22" spans="1:31">
      <c r="A22" s="1258"/>
      <c r="B22" s="1135" t="s">
        <v>1047</v>
      </c>
      <c r="C22" s="1053"/>
      <c r="D22" s="1129"/>
      <c r="F22" s="1136"/>
      <c r="G22" s="1137"/>
      <c r="H22" s="1098"/>
      <c r="I22" s="1131"/>
      <c r="J22" s="1130"/>
      <c r="K22" s="1130"/>
      <c r="L22" s="1130"/>
      <c r="M22" s="1132"/>
      <c r="N22" s="1132"/>
      <c r="O22" s="1132"/>
      <c r="P22" s="1132"/>
      <c r="Q22" s="1132"/>
      <c r="R22" s="1132"/>
    </row>
    <row r="23" spans="1:31">
      <c r="A23" s="1089" t="s">
        <v>105</v>
      </c>
      <c r="B23" s="1094" t="s">
        <v>784</v>
      </c>
      <c r="C23" s="1487">
        <v>0.15</v>
      </c>
      <c r="D23" s="1139"/>
      <c r="E23" s="1139"/>
      <c r="F23" s="1139"/>
      <c r="I23" s="1131"/>
      <c r="J23" s="1130"/>
      <c r="K23" s="1130"/>
      <c r="L23" s="1130"/>
      <c r="M23" s="1132"/>
      <c r="N23" s="1132"/>
      <c r="O23" s="1132"/>
      <c r="P23" s="1132"/>
      <c r="Q23" s="1132"/>
      <c r="R23" s="1132"/>
    </row>
    <row r="24" spans="1:31">
      <c r="A24" s="1089" t="s">
        <v>568</v>
      </c>
      <c r="B24" s="1486" t="s">
        <v>1181</v>
      </c>
      <c r="C24" s="1488">
        <v>0</v>
      </c>
      <c r="D24" s="1139" t="s">
        <v>107</v>
      </c>
      <c r="E24" s="1139" t="s">
        <v>108</v>
      </c>
      <c r="F24" s="1139" t="s">
        <v>109</v>
      </c>
      <c r="I24" s="1131"/>
      <c r="J24" s="1130"/>
      <c r="K24" s="1130"/>
      <c r="L24" s="1130"/>
      <c r="M24" s="1132"/>
      <c r="N24" s="1132"/>
      <c r="O24" s="1132"/>
      <c r="P24" s="1132"/>
      <c r="Q24" s="1132"/>
      <c r="R24" s="1132"/>
    </row>
    <row r="25" spans="1:31">
      <c r="A25" s="1089" t="s">
        <v>569</v>
      </c>
      <c r="B25" s="1140" t="s">
        <v>110</v>
      </c>
      <c r="C25" s="1084" t="s">
        <v>111</v>
      </c>
      <c r="D25" s="295">
        <v>245</v>
      </c>
      <c r="E25" s="296"/>
      <c r="F25" s="297"/>
      <c r="G25" s="1270" t="str">
        <f>IF(SUM(D25:F26)=SUM(C13:C16)+SUM(C56:C57),"",IF(SUM(D25:F26)=0,"道路占用料の支払いはありませんか？","※許可地点数と道路占用料の件数が一致していません。"))</f>
        <v/>
      </c>
      <c r="I25" s="1092"/>
      <c r="J25" s="1088"/>
      <c r="K25" s="1088"/>
      <c r="L25" s="1088"/>
      <c r="M25" s="1088"/>
      <c r="N25" s="1088"/>
      <c r="O25" s="1088"/>
      <c r="P25" s="1088"/>
      <c r="Q25" s="1088"/>
      <c r="R25" s="1088"/>
    </row>
    <row r="26" spans="1:31">
      <c r="A26" s="1089" t="s">
        <v>570</v>
      </c>
      <c r="B26" s="1140" t="s">
        <v>113</v>
      </c>
      <c r="C26" s="1084" t="s">
        <v>114</v>
      </c>
      <c r="D26" s="298"/>
      <c r="E26" s="299"/>
      <c r="F26" s="300"/>
      <c r="G26" s="1104" t="s">
        <v>692</v>
      </c>
      <c r="H26" s="1141"/>
      <c r="I26" s="1141"/>
      <c r="J26" s="1141"/>
      <c r="K26" s="1141"/>
      <c r="L26" s="1141"/>
      <c r="M26" s="1141"/>
      <c r="N26" s="1141"/>
      <c r="O26" s="1141"/>
      <c r="P26" s="1141"/>
      <c r="Q26" s="1141"/>
      <c r="R26" s="1141"/>
      <c r="S26" s="1141"/>
      <c r="T26" s="1141"/>
      <c r="U26" s="1141"/>
      <c r="V26" s="1141"/>
      <c r="W26" s="1141"/>
      <c r="X26" s="1141"/>
      <c r="Y26" s="1141"/>
      <c r="Z26" s="1141"/>
      <c r="AA26" s="1141"/>
      <c r="AB26" s="1141"/>
      <c r="AC26" s="1141"/>
      <c r="AD26" s="1141"/>
      <c r="AE26" s="1141"/>
    </row>
    <row r="27" spans="1:31">
      <c r="A27" s="1089" t="s">
        <v>571</v>
      </c>
      <c r="B27" s="1142"/>
      <c r="C27" s="1143"/>
      <c r="D27" s="1143"/>
      <c r="E27" s="1099"/>
      <c r="G27" s="1115" t="s">
        <v>88</v>
      </c>
      <c r="H27" s="1114"/>
      <c r="I27" s="1114"/>
      <c r="J27" s="1115" t="s">
        <v>89</v>
      </c>
      <c r="K27" s="1114"/>
      <c r="L27" s="1116"/>
      <c r="M27" s="1114" t="s">
        <v>90</v>
      </c>
      <c r="N27" s="1114"/>
      <c r="O27" s="1114"/>
      <c r="P27" s="1115" t="s">
        <v>91</v>
      </c>
      <c r="Q27" s="1114"/>
      <c r="R27" s="1116"/>
      <c r="S27" s="1114" t="s">
        <v>92</v>
      </c>
      <c r="T27" s="1114"/>
      <c r="U27" s="1114"/>
      <c r="V27" s="1115" t="s">
        <v>93</v>
      </c>
      <c r="W27" s="1114"/>
      <c r="X27" s="1116"/>
      <c r="Y27" s="1114" t="s">
        <v>94</v>
      </c>
      <c r="Z27" s="1114"/>
      <c r="AA27" s="1114"/>
      <c r="AB27" s="1115" t="s">
        <v>95</v>
      </c>
      <c r="AC27" s="1114"/>
      <c r="AD27" s="1116"/>
      <c r="AE27" s="1111"/>
    </row>
    <row r="28" spans="1:31">
      <c r="A28" s="1089" t="s">
        <v>572</v>
      </c>
      <c r="B28" s="1138" t="s">
        <v>117</v>
      </c>
      <c r="C28" s="1144" t="s">
        <v>59</v>
      </c>
      <c r="D28" s="1145" t="s">
        <v>60</v>
      </c>
      <c r="E28" s="1146" t="s">
        <v>1017</v>
      </c>
      <c r="F28" s="1137"/>
      <c r="G28" s="1119" t="s">
        <v>831</v>
      </c>
      <c r="H28" s="1120" t="s">
        <v>832</v>
      </c>
      <c r="I28" s="1121" t="s">
        <v>833</v>
      </c>
      <c r="J28" s="1119" t="s">
        <v>831</v>
      </c>
      <c r="K28" s="1120" t="s">
        <v>832</v>
      </c>
      <c r="L28" s="1121" t="s">
        <v>833</v>
      </c>
      <c r="M28" s="1119" t="s">
        <v>831</v>
      </c>
      <c r="N28" s="1120" t="s">
        <v>832</v>
      </c>
      <c r="O28" s="1121" t="s">
        <v>833</v>
      </c>
      <c r="P28" s="1119" t="s">
        <v>831</v>
      </c>
      <c r="Q28" s="1120" t="s">
        <v>832</v>
      </c>
      <c r="R28" s="1121" t="s">
        <v>833</v>
      </c>
      <c r="S28" s="1119" t="s">
        <v>831</v>
      </c>
      <c r="T28" s="1120" t="s">
        <v>832</v>
      </c>
      <c r="U28" s="1121" t="s">
        <v>833</v>
      </c>
      <c r="V28" s="1119" t="s">
        <v>831</v>
      </c>
      <c r="W28" s="1120" t="s">
        <v>832</v>
      </c>
      <c r="X28" s="1121" t="s">
        <v>833</v>
      </c>
      <c r="Y28" s="1119" t="s">
        <v>831</v>
      </c>
      <c r="Z28" s="1120" t="s">
        <v>832</v>
      </c>
      <c r="AA28" s="1121" t="s">
        <v>833</v>
      </c>
      <c r="AB28" s="1119" t="s">
        <v>831</v>
      </c>
      <c r="AC28" s="1120" t="s">
        <v>832</v>
      </c>
      <c r="AD28" s="1122" t="s">
        <v>833</v>
      </c>
      <c r="AE28" s="1111"/>
    </row>
    <row r="29" spans="1:31">
      <c r="A29" s="1089" t="s">
        <v>573</v>
      </c>
      <c r="B29" s="1138" t="s">
        <v>871</v>
      </c>
      <c r="C29" s="1054">
        <v>1</v>
      </c>
      <c r="D29" s="1440">
        <v>1</v>
      </c>
      <c r="E29" s="1441">
        <v>18</v>
      </c>
      <c r="F29" s="1129"/>
      <c r="G29" s="1033"/>
      <c r="H29" s="1034"/>
      <c r="I29" s="1035"/>
      <c r="J29" s="1033"/>
      <c r="K29" s="1034"/>
      <c r="L29" s="1036"/>
      <c r="M29" s="1037"/>
      <c r="N29" s="1034"/>
      <c r="O29" s="1035"/>
      <c r="P29" s="1033"/>
      <c r="Q29" s="1034"/>
      <c r="R29" s="1035"/>
      <c r="S29" s="1033"/>
      <c r="T29" s="1034"/>
      <c r="U29" s="1035"/>
      <c r="V29" s="1033"/>
      <c r="W29" s="1034"/>
      <c r="X29" s="1036"/>
      <c r="Y29" s="1037"/>
      <c r="Z29" s="1034"/>
      <c r="AA29" s="1035"/>
      <c r="AB29" s="1033"/>
      <c r="AC29" s="1034"/>
      <c r="AD29" s="1036"/>
      <c r="AE29" s="1111"/>
    </row>
    <row r="30" spans="1:31">
      <c r="A30" s="1089" t="s">
        <v>574</v>
      </c>
      <c r="B30" s="1138" t="s">
        <v>868</v>
      </c>
      <c r="C30" s="1055">
        <v>1</v>
      </c>
      <c r="D30" s="1038">
        <v>1</v>
      </c>
      <c r="E30" s="1056">
        <v>18</v>
      </c>
      <c r="F30" s="1129"/>
      <c r="G30" s="1040"/>
      <c r="H30" s="1041"/>
      <c r="I30" s="1042"/>
      <c r="J30" s="1040"/>
      <c r="K30" s="1041"/>
      <c r="L30" s="1043"/>
      <c r="M30" s="1044"/>
      <c r="N30" s="1041"/>
      <c r="O30" s="1042"/>
      <c r="P30" s="1040"/>
      <c r="Q30" s="1041"/>
      <c r="R30" s="1042"/>
      <c r="S30" s="1040"/>
      <c r="T30" s="1041"/>
      <c r="U30" s="1042"/>
      <c r="V30" s="1040"/>
      <c r="W30" s="1041"/>
      <c r="X30" s="1043"/>
      <c r="Y30" s="1044"/>
      <c r="Z30" s="1041"/>
      <c r="AA30" s="1042"/>
      <c r="AB30" s="1040"/>
      <c r="AC30" s="1041"/>
      <c r="AD30" s="1043"/>
      <c r="AE30" s="1098"/>
    </row>
    <row r="31" spans="1:31">
      <c r="A31" s="1089" t="s">
        <v>575</v>
      </c>
      <c r="B31" s="1416" t="s">
        <v>539</v>
      </c>
      <c r="C31" s="1055">
        <v>1</v>
      </c>
      <c r="D31" s="1038">
        <v>1</v>
      </c>
      <c r="E31" s="1056">
        <v>18</v>
      </c>
      <c r="F31" s="1129"/>
      <c r="G31" s="1040"/>
      <c r="H31" s="1041"/>
      <c r="I31" s="1042"/>
      <c r="J31" s="1040"/>
      <c r="K31" s="1041"/>
      <c r="L31" s="1043"/>
      <c r="M31" s="1044"/>
      <c r="N31" s="1041"/>
      <c r="O31" s="1042"/>
      <c r="P31" s="1040"/>
      <c r="Q31" s="1041"/>
      <c r="R31" s="1042"/>
      <c r="S31" s="1040"/>
      <c r="T31" s="1041"/>
      <c r="U31" s="1042"/>
      <c r="V31" s="1040"/>
      <c r="W31" s="1041"/>
      <c r="X31" s="1043"/>
      <c r="Y31" s="1044"/>
      <c r="Z31" s="1041"/>
      <c r="AA31" s="1042"/>
      <c r="AB31" s="1040"/>
      <c r="AC31" s="1041"/>
      <c r="AD31" s="1043"/>
      <c r="AE31" s="1098"/>
    </row>
    <row r="32" spans="1:31">
      <c r="A32" s="1089" t="s">
        <v>576</v>
      </c>
      <c r="B32" s="1138" t="s">
        <v>870</v>
      </c>
      <c r="C32" s="1055">
        <v>1</v>
      </c>
      <c r="D32" s="1038">
        <v>1</v>
      </c>
      <c r="E32" s="1056">
        <v>18</v>
      </c>
      <c r="F32" s="1129"/>
      <c r="G32" s="1040"/>
      <c r="H32" s="1041"/>
      <c r="I32" s="1042"/>
      <c r="J32" s="1040"/>
      <c r="K32" s="1041"/>
      <c r="L32" s="1043"/>
      <c r="M32" s="1044"/>
      <c r="N32" s="1041"/>
      <c r="O32" s="1042"/>
      <c r="P32" s="1040"/>
      <c r="Q32" s="1041"/>
      <c r="R32" s="1042"/>
      <c r="S32" s="1040"/>
      <c r="T32" s="1041"/>
      <c r="U32" s="1042"/>
      <c r="V32" s="1040"/>
      <c r="W32" s="1041"/>
      <c r="X32" s="1043"/>
      <c r="Y32" s="1044"/>
      <c r="Z32" s="1041"/>
      <c r="AA32" s="1042"/>
      <c r="AB32" s="1040"/>
      <c r="AC32" s="1041"/>
      <c r="AD32" s="1043"/>
      <c r="AE32" s="1098"/>
    </row>
    <row r="33" spans="1:31">
      <c r="A33" s="1089" t="s">
        <v>577</v>
      </c>
      <c r="B33" s="1138" t="s">
        <v>872</v>
      </c>
      <c r="C33" s="1055">
        <v>1</v>
      </c>
      <c r="D33" s="1038">
        <v>1</v>
      </c>
      <c r="E33" s="1056">
        <v>18</v>
      </c>
      <c r="F33" s="1129"/>
      <c r="G33" s="1040"/>
      <c r="H33" s="1041"/>
      <c r="I33" s="1042"/>
      <c r="J33" s="1040"/>
      <c r="K33" s="1041"/>
      <c r="L33" s="1043"/>
      <c r="M33" s="1044"/>
      <c r="N33" s="1041"/>
      <c r="O33" s="1042"/>
      <c r="P33" s="1040"/>
      <c r="Q33" s="1041"/>
      <c r="R33" s="1042"/>
      <c r="S33" s="1040"/>
      <c r="T33" s="1041"/>
      <c r="U33" s="1042"/>
      <c r="V33" s="1040"/>
      <c r="W33" s="1041"/>
      <c r="X33" s="1043"/>
      <c r="Y33" s="1044"/>
      <c r="Z33" s="1041"/>
      <c r="AA33" s="1042"/>
      <c r="AB33" s="1040"/>
      <c r="AC33" s="1041"/>
      <c r="AD33" s="1043"/>
      <c r="AE33" s="1098"/>
    </row>
    <row r="34" spans="1:31">
      <c r="A34" s="1089" t="s">
        <v>578</v>
      </c>
      <c r="B34" s="1138" t="s">
        <v>873</v>
      </c>
      <c r="C34" s="1055">
        <v>1</v>
      </c>
      <c r="D34" s="1147" t="str">
        <f>IF($C$12&lt;&gt;"","", IF($C$34="","",IF($C$34=1,"導管の種類を選択してください")))</f>
        <v/>
      </c>
      <c r="E34" s="1148"/>
      <c r="F34" s="1098"/>
      <c r="G34" s="1149"/>
      <c r="H34" s="1150"/>
      <c r="I34" s="1150"/>
      <c r="J34" s="1150"/>
      <c r="K34" s="1150"/>
      <c r="L34" s="1150"/>
      <c r="M34" s="1150"/>
      <c r="N34" s="1150"/>
      <c r="O34" s="1150"/>
      <c r="P34" s="1151"/>
      <c r="Q34" s="1150"/>
      <c r="R34" s="1150"/>
      <c r="S34" s="1151"/>
      <c r="T34" s="1150"/>
      <c r="U34" s="1150"/>
      <c r="V34" s="1150"/>
      <c r="W34" s="1150"/>
      <c r="X34" s="1150"/>
      <c r="Y34" s="1150"/>
      <c r="Z34" s="1150"/>
      <c r="AA34" s="1150"/>
      <c r="AB34" s="1150"/>
      <c r="AC34" s="1150"/>
      <c r="AD34" s="1152"/>
      <c r="AE34" s="1098"/>
    </row>
    <row r="35" spans="1:31">
      <c r="A35" s="1089" t="s">
        <v>579</v>
      </c>
      <c r="B35" s="1138" t="s">
        <v>874</v>
      </c>
      <c r="C35" s="1055">
        <v>1</v>
      </c>
      <c r="D35" s="1038">
        <v>1</v>
      </c>
      <c r="E35" s="1056">
        <v>18</v>
      </c>
      <c r="F35" s="1129"/>
      <c r="G35" s="1040"/>
      <c r="H35" s="1041"/>
      <c r="I35" s="1042"/>
      <c r="J35" s="1040"/>
      <c r="K35" s="1041"/>
      <c r="L35" s="1043"/>
      <c r="M35" s="1044"/>
      <c r="N35" s="1041"/>
      <c r="O35" s="1042"/>
      <c r="P35" s="1040"/>
      <c r="Q35" s="1041"/>
      <c r="R35" s="1042"/>
      <c r="S35" s="1040"/>
      <c r="T35" s="1041"/>
      <c r="U35" s="1042"/>
      <c r="V35" s="1040"/>
      <c r="W35" s="1041"/>
      <c r="X35" s="1043"/>
      <c r="Y35" s="1044"/>
      <c r="Z35" s="1041"/>
      <c r="AA35" s="1042"/>
      <c r="AB35" s="1040"/>
      <c r="AC35" s="1041"/>
      <c r="AD35" s="1043"/>
      <c r="AE35" s="1098"/>
    </row>
    <row r="36" spans="1:31">
      <c r="A36" s="1089" t="s">
        <v>580</v>
      </c>
      <c r="B36" s="1138" t="s">
        <v>875</v>
      </c>
      <c r="C36" s="1055">
        <v>1</v>
      </c>
      <c r="D36" s="1038">
        <v>1</v>
      </c>
      <c r="E36" s="1056">
        <v>18</v>
      </c>
      <c r="F36" s="1129"/>
      <c r="G36" s="1048"/>
      <c r="H36" s="1046"/>
      <c r="I36" s="1047"/>
      <c r="J36" s="1048"/>
      <c r="K36" s="1046"/>
      <c r="L36" s="1049"/>
      <c r="M36" s="1050"/>
      <c r="N36" s="1046"/>
      <c r="O36" s="1047"/>
      <c r="P36" s="1048"/>
      <c r="Q36" s="1046"/>
      <c r="R36" s="1047"/>
      <c r="S36" s="1048"/>
      <c r="T36" s="1046"/>
      <c r="U36" s="1047"/>
      <c r="V36" s="1048"/>
      <c r="W36" s="1046"/>
      <c r="X36" s="1049"/>
      <c r="Y36" s="1050"/>
      <c r="Z36" s="1046"/>
      <c r="AA36" s="1047"/>
      <c r="AB36" s="1048"/>
      <c r="AC36" s="1046"/>
      <c r="AD36" s="1049"/>
      <c r="AE36" s="1098"/>
    </row>
    <row r="37" spans="1:31">
      <c r="A37" s="1089" t="s">
        <v>581</v>
      </c>
      <c r="B37" s="1138" t="s">
        <v>876</v>
      </c>
      <c r="C37" s="1055">
        <v>1</v>
      </c>
      <c r="D37" s="1038">
        <v>1</v>
      </c>
      <c r="E37" s="1057">
        <v>18</v>
      </c>
      <c r="H37" s="1153"/>
      <c r="I37" s="1154"/>
      <c r="J37" s="1153"/>
      <c r="K37" s="1154"/>
      <c r="L37" s="1154"/>
      <c r="M37" s="1153"/>
      <c r="N37" s="1154"/>
      <c r="O37" s="1154"/>
      <c r="P37" s="1153"/>
      <c r="Q37" s="1154"/>
      <c r="R37" s="1154"/>
      <c r="S37" s="1153"/>
      <c r="T37" s="1154"/>
      <c r="U37" s="1154"/>
      <c r="V37" s="1153"/>
      <c r="W37" s="1154"/>
      <c r="X37" s="1154"/>
      <c r="Y37" s="1153"/>
      <c r="Z37" s="1154"/>
      <c r="AA37" s="1154"/>
      <c r="AB37" s="1153"/>
      <c r="AC37" s="1154"/>
      <c r="AD37" s="1154"/>
    </row>
    <row r="38" spans="1:31">
      <c r="A38" s="1089" t="s">
        <v>582</v>
      </c>
      <c r="B38" s="1101" t="s">
        <v>1046</v>
      </c>
      <c r="C38" s="1055">
        <v>1</v>
      </c>
      <c r="D38" s="1127" t="s">
        <v>878</v>
      </c>
      <c r="E38" s="1155"/>
      <c r="G38" s="1098"/>
      <c r="H38" s="1098"/>
      <c r="I38" s="1098"/>
      <c r="J38" s="1098"/>
      <c r="K38" s="1098"/>
      <c r="L38" s="1098"/>
      <c r="M38" s="1098"/>
      <c r="N38" s="1098"/>
      <c r="O38" s="1098"/>
      <c r="P38" s="1098"/>
      <c r="Q38" s="1098"/>
      <c r="R38" s="1098"/>
      <c r="S38" s="1098"/>
      <c r="T38" s="1098"/>
      <c r="U38" s="1098"/>
      <c r="V38" s="1098"/>
      <c r="W38" s="1098"/>
      <c r="X38" s="1098"/>
      <c r="Y38" s="1098"/>
      <c r="Z38" s="1098"/>
      <c r="AA38" s="1098"/>
      <c r="AB38" s="1098"/>
      <c r="AC38" s="1098"/>
      <c r="AD38" s="1098"/>
    </row>
    <row r="39" spans="1:31">
      <c r="A39" s="1089" t="s">
        <v>583</v>
      </c>
      <c r="B39" s="1101" t="s">
        <v>1045</v>
      </c>
      <c r="C39" s="1058">
        <v>0</v>
      </c>
      <c r="D39" s="1112"/>
      <c r="E39" s="1273"/>
      <c r="G39" s="1156"/>
      <c r="H39" s="1098"/>
      <c r="I39" s="1098"/>
      <c r="J39" s="1098"/>
      <c r="K39" s="1098"/>
      <c r="L39" s="1098"/>
      <c r="M39" s="1098"/>
      <c r="N39" s="1098"/>
      <c r="O39" s="1098"/>
      <c r="P39" s="1098"/>
      <c r="Q39" s="1098"/>
      <c r="R39" s="1098"/>
      <c r="S39" s="1098"/>
      <c r="T39" s="1098"/>
      <c r="U39" s="1098"/>
      <c r="V39" s="1098"/>
      <c r="W39" s="1098"/>
      <c r="X39" s="1098"/>
      <c r="Y39" s="1098"/>
      <c r="Z39" s="1098"/>
      <c r="AA39" s="1098"/>
      <c r="AB39" s="1098"/>
      <c r="AC39" s="1098"/>
      <c r="AD39" s="1098"/>
    </row>
    <row r="40" spans="1:31">
      <c r="A40" s="1089" t="s">
        <v>584</v>
      </c>
      <c r="C40" s="1091" t="s">
        <v>877</v>
      </c>
      <c r="D40" s="1099"/>
      <c r="E40" s="1271"/>
      <c r="F40" s="1293" t="str">
        <f>IF(AND(C7=0,E40=0),"※税率を入力","")</f>
        <v/>
      </c>
      <c r="G40" s="1098"/>
      <c r="H40" s="1098"/>
      <c r="I40" s="1272"/>
      <c r="J40" s="1098"/>
      <c r="K40" s="1098"/>
      <c r="L40" s="1272"/>
      <c r="M40" s="1098"/>
      <c r="N40" s="1098"/>
      <c r="O40" s="1272"/>
      <c r="P40" s="1098"/>
      <c r="Q40" s="1098"/>
      <c r="R40" s="1272"/>
      <c r="S40" s="1098"/>
      <c r="T40" s="1098"/>
      <c r="U40" s="1272"/>
      <c r="V40" s="1098"/>
      <c r="W40" s="1098"/>
      <c r="X40" s="1272"/>
      <c r="Y40" s="1098"/>
      <c r="Z40" s="1098"/>
      <c r="AA40" s="1272"/>
      <c r="AB40" s="1098"/>
      <c r="AC40" s="1098"/>
      <c r="AD40" s="1272"/>
      <c r="AE40" s="1098"/>
    </row>
    <row r="41" spans="1:31">
      <c r="A41" s="1089" t="s">
        <v>585</v>
      </c>
      <c r="C41" s="1090" t="s">
        <v>1038</v>
      </c>
      <c r="D41" s="1085"/>
      <c r="E41" s="1059">
        <v>0</v>
      </c>
      <c r="G41" s="1098"/>
      <c r="H41" s="1098"/>
      <c r="I41" s="1257"/>
      <c r="J41" s="1098"/>
      <c r="K41" s="1098"/>
      <c r="L41" s="1257"/>
      <c r="M41" s="1098"/>
      <c r="N41" s="1098"/>
      <c r="O41" s="1257"/>
      <c r="P41" s="1098"/>
      <c r="Q41" s="1098"/>
      <c r="R41" s="1257"/>
      <c r="S41" s="1098"/>
      <c r="T41" s="1098"/>
      <c r="U41" s="1257"/>
      <c r="V41" s="1098"/>
      <c r="W41" s="1098"/>
      <c r="X41" s="1257"/>
      <c r="Y41" s="1098"/>
      <c r="Z41" s="1098"/>
      <c r="AA41" s="1257"/>
      <c r="AB41" s="1098"/>
      <c r="AC41" s="1098"/>
      <c r="AD41" s="1257"/>
    </row>
    <row r="42" spans="1:31">
      <c r="A42" s="1089" t="s">
        <v>586</v>
      </c>
      <c r="B42" s="1094"/>
      <c r="C42" s="1098"/>
      <c r="E42" s="1261" t="str">
        <f>IF(OR(AND(E41=1,C29=1),AND(I41=1,G29&gt;0),AND(L41=1,J29&gt;0),AND(O41=1,M29&gt;0),AND(R41=1,P29&gt;0),AND(U41=1,S29&gt;0),AND(X41=1,V29&gt;0),AND(AA41=1,Y29&gt;0),AND(AD41=1,AB29&gt;0)),"※バルク貯槽による供給の場合、建物の投資はありません。バルク貯槽に該当する建物の投資の有無もしくは地点を削除してください","")</f>
        <v/>
      </c>
      <c r="F42" s="1264"/>
      <c r="G42" s="1098"/>
      <c r="H42" s="1098"/>
      <c r="I42" s="1098"/>
      <c r="J42" s="1098"/>
      <c r="K42" s="1098"/>
      <c r="L42" s="1098"/>
      <c r="M42" s="1098"/>
      <c r="N42" s="1098"/>
      <c r="O42" s="1098"/>
      <c r="P42" s="1098"/>
      <c r="Q42" s="1098"/>
      <c r="R42" s="1098"/>
      <c r="S42" s="1098"/>
      <c r="T42" s="1098"/>
      <c r="U42" s="1098"/>
      <c r="V42" s="1098"/>
      <c r="W42" s="1098"/>
      <c r="X42" s="1098"/>
      <c r="Y42" s="1098"/>
      <c r="Z42" s="1098"/>
      <c r="AA42" s="1098"/>
      <c r="AB42" s="1098"/>
      <c r="AC42" s="1098"/>
      <c r="AD42" s="1098"/>
    </row>
    <row r="43" spans="1:31">
      <c r="A43" s="1089" t="s">
        <v>587</v>
      </c>
      <c r="B43" s="1138" t="s">
        <v>1058</v>
      </c>
      <c r="C43" s="1449" t="s">
        <v>59</v>
      </c>
      <c r="D43" s="1450" t="s">
        <v>60</v>
      </c>
      <c r="E43" s="1146" t="s">
        <v>1017</v>
      </c>
      <c r="F43" s="1264"/>
      <c r="G43" s="1098"/>
      <c r="H43" s="1098"/>
      <c r="I43" s="1098"/>
      <c r="J43" s="1098"/>
      <c r="K43" s="1098"/>
      <c r="L43" s="1098"/>
      <c r="M43" s="1098"/>
      <c r="N43" s="1098"/>
      <c r="O43" s="1098"/>
      <c r="P43" s="1098"/>
      <c r="Q43" s="1098"/>
      <c r="R43" s="1098"/>
      <c r="S43" s="1098"/>
      <c r="T43" s="1098"/>
      <c r="U43" s="1098"/>
      <c r="V43" s="1098"/>
      <c r="W43" s="1098"/>
      <c r="X43" s="1098"/>
      <c r="Y43" s="1098"/>
      <c r="Z43" s="1098"/>
      <c r="AA43" s="1098"/>
      <c r="AB43" s="1098"/>
      <c r="AC43" s="1098"/>
      <c r="AD43" s="1098"/>
    </row>
    <row r="44" spans="1:31">
      <c r="A44" s="1089" t="s">
        <v>588</v>
      </c>
      <c r="B44" s="1138"/>
      <c r="C44" s="1451"/>
      <c r="D44" s="1452"/>
      <c r="E44" s="1453"/>
      <c r="F44" s="1264" t="str">
        <f>IF(AND(C37=1,C44=1),"入力が正しくありません。車両投資もしくは、車両リース区分のいずれかを０にして下さい。","")</f>
        <v/>
      </c>
      <c r="H44" s="1448"/>
      <c r="I44" s="1159"/>
      <c r="J44" s="1448"/>
      <c r="K44" s="1159"/>
      <c r="L44" s="1159"/>
      <c r="M44" s="1448"/>
      <c r="N44" s="1159"/>
      <c r="O44" s="1159"/>
      <c r="P44" s="1448"/>
      <c r="Q44" s="1159"/>
      <c r="R44" s="1159"/>
      <c r="S44" s="1448"/>
      <c r="T44" s="1159"/>
      <c r="U44" s="1159"/>
      <c r="V44" s="1448"/>
      <c r="W44" s="1159"/>
      <c r="X44" s="1159"/>
      <c r="Y44" s="1448"/>
      <c r="Z44" s="1159"/>
      <c r="AA44" s="1159"/>
      <c r="AB44" s="1448"/>
      <c r="AC44" s="1159"/>
      <c r="AD44" s="1159"/>
    </row>
    <row r="45" spans="1:31">
      <c r="A45" s="1089" t="s">
        <v>589</v>
      </c>
      <c r="B45" s="1099" t="s">
        <v>647</v>
      </c>
      <c r="C45" s="1136"/>
      <c r="G45" s="1098"/>
      <c r="H45" s="1098"/>
      <c r="I45" s="1098"/>
      <c r="J45" s="1098"/>
      <c r="K45" s="1098"/>
      <c r="L45" s="1098"/>
      <c r="M45" s="1098"/>
      <c r="N45" s="1098"/>
      <c r="O45" s="1098"/>
      <c r="P45" s="1098"/>
      <c r="Q45" s="1098"/>
      <c r="R45" s="1098"/>
      <c r="S45" s="1098"/>
      <c r="T45" s="1098"/>
      <c r="U45" s="1098"/>
      <c r="V45" s="1098"/>
      <c r="W45" s="1098"/>
      <c r="X45" s="1098"/>
      <c r="Y45" s="1098"/>
      <c r="Z45" s="1098"/>
      <c r="AA45" s="1098"/>
      <c r="AB45" s="1098"/>
      <c r="AC45" s="1098"/>
      <c r="AD45" s="1098"/>
    </row>
    <row r="46" spans="1:31">
      <c r="A46" s="1089" t="s">
        <v>590</v>
      </c>
      <c r="B46" s="1099" t="s">
        <v>825</v>
      </c>
      <c r="C46" s="1060"/>
      <c r="D46" s="1129" t="s">
        <v>119</v>
      </c>
      <c r="E46" s="1157">
        <f>IF(C46&gt;0,C46-1,0)</f>
        <v>0</v>
      </c>
      <c r="F46" s="1157"/>
      <c r="G46" s="1098"/>
      <c r="H46" s="1098"/>
      <c r="I46" s="1098"/>
      <c r="J46" s="1098"/>
      <c r="K46" s="1098"/>
      <c r="L46" s="1098"/>
      <c r="M46" s="1098"/>
      <c r="N46" s="1098"/>
      <c r="O46" s="1098"/>
      <c r="P46" s="1098"/>
      <c r="Q46" s="1098"/>
      <c r="R46" s="1098"/>
      <c r="S46" s="1098"/>
      <c r="T46" s="1098"/>
      <c r="U46" s="1098"/>
      <c r="V46" s="1098"/>
      <c r="W46" s="1098"/>
      <c r="X46" s="1098"/>
      <c r="Y46" s="1098"/>
      <c r="Z46" s="1098"/>
      <c r="AA46" s="1098"/>
      <c r="AB46" s="1098"/>
      <c r="AC46" s="1098"/>
      <c r="AD46" s="1098"/>
    </row>
    <row r="47" spans="1:31">
      <c r="A47" s="1089" t="s">
        <v>591</v>
      </c>
      <c r="B47" s="1099" t="s">
        <v>120</v>
      </c>
      <c r="C47" s="1061"/>
      <c r="D47" s="1129" t="s">
        <v>119</v>
      </c>
      <c r="E47" s="1157">
        <f>IF(C47&gt;0,C47-1,0)</f>
        <v>0</v>
      </c>
      <c r="F47" s="1157"/>
      <c r="G47" s="1098"/>
      <c r="H47" s="1098"/>
      <c r="I47" s="1098"/>
      <c r="J47" s="1098"/>
      <c r="K47" s="1098"/>
      <c r="L47" s="1098"/>
      <c r="M47" s="1098"/>
      <c r="N47" s="1098"/>
      <c r="O47" s="1098"/>
      <c r="P47" s="1098"/>
      <c r="Q47" s="1098"/>
      <c r="R47" s="1098"/>
      <c r="S47" s="1098"/>
      <c r="T47" s="1098"/>
      <c r="U47" s="1098"/>
      <c r="V47" s="1098"/>
      <c r="W47" s="1098"/>
      <c r="X47" s="1098"/>
      <c r="Y47" s="1098"/>
      <c r="Z47" s="1098"/>
      <c r="AA47" s="1098"/>
      <c r="AB47" s="1098"/>
      <c r="AC47" s="1098"/>
      <c r="AD47" s="1098"/>
    </row>
    <row r="48" spans="1:31">
      <c r="A48" s="1128"/>
      <c r="B48" s="1099" t="s">
        <v>121</v>
      </c>
      <c r="C48" s="1062"/>
      <c r="D48" s="1129" t="s">
        <v>119</v>
      </c>
      <c r="E48" s="1157">
        <f>IF(C48&gt;0,C48-1,0)</f>
        <v>0</v>
      </c>
      <c r="F48" s="1157"/>
      <c r="G48" s="1098"/>
      <c r="H48" s="1098"/>
      <c r="I48" s="1098"/>
      <c r="J48" s="1098"/>
      <c r="K48" s="1098"/>
      <c r="L48" s="1098"/>
      <c r="M48" s="1098"/>
      <c r="N48" s="1098"/>
      <c r="O48" s="1098"/>
      <c r="P48" s="1098"/>
      <c r="Q48" s="1098"/>
      <c r="R48" s="1098"/>
      <c r="S48" s="1098"/>
      <c r="T48" s="1098"/>
      <c r="U48" s="1098"/>
      <c r="V48" s="1098"/>
      <c r="W48" s="1098"/>
      <c r="X48" s="1098"/>
      <c r="Y48" s="1098"/>
      <c r="Z48" s="1098"/>
      <c r="AA48" s="1098"/>
      <c r="AB48" s="1098"/>
      <c r="AC48" s="1098"/>
      <c r="AD48" s="1098"/>
    </row>
    <row r="49" spans="1:30">
      <c r="A49" s="1123" t="s">
        <v>112</v>
      </c>
      <c r="B49" s="1099"/>
      <c r="C49" s="1158"/>
      <c r="G49" s="1098"/>
      <c r="H49" s="1098"/>
      <c r="I49" s="1098"/>
      <c r="J49" s="1098"/>
      <c r="K49" s="1098"/>
      <c r="L49" s="1098"/>
      <c r="M49" s="1098"/>
      <c r="N49" s="1098"/>
      <c r="O49" s="1098"/>
      <c r="P49" s="1098"/>
      <c r="Q49" s="1098"/>
      <c r="R49" s="1098"/>
      <c r="S49" s="1098"/>
      <c r="T49" s="1098"/>
      <c r="U49" s="1098"/>
      <c r="V49" s="1098"/>
      <c r="W49" s="1098"/>
      <c r="X49" s="1098"/>
      <c r="Y49" s="1098"/>
      <c r="Z49" s="1098"/>
      <c r="AA49" s="1098"/>
      <c r="AB49" s="1098"/>
      <c r="AC49" s="1098"/>
      <c r="AD49" s="1098"/>
    </row>
    <row r="50" spans="1:30">
      <c r="A50" s="1123" t="s">
        <v>115</v>
      </c>
      <c r="B50" s="1099" t="s">
        <v>122</v>
      </c>
      <c r="C50" s="1063">
        <v>0</v>
      </c>
      <c r="D50" s="1129" t="s">
        <v>693</v>
      </c>
      <c r="G50" s="1098"/>
      <c r="H50" s="1098"/>
      <c r="I50" s="1098"/>
      <c r="J50" s="1098"/>
      <c r="K50" s="1098"/>
      <c r="L50" s="1098"/>
      <c r="M50" s="1098"/>
      <c r="N50" s="1098"/>
      <c r="O50" s="1098"/>
      <c r="P50" s="1098"/>
      <c r="Q50" s="1098"/>
      <c r="R50" s="1098"/>
      <c r="S50" s="1098"/>
      <c r="T50" s="1098"/>
      <c r="U50" s="1098"/>
      <c r="V50" s="1098"/>
      <c r="W50" s="1098"/>
      <c r="X50" s="1098"/>
      <c r="Y50" s="1098"/>
      <c r="Z50" s="1098"/>
      <c r="AA50" s="1098"/>
      <c r="AB50" s="1098"/>
      <c r="AC50" s="1098"/>
      <c r="AD50" s="1098"/>
    </row>
    <row r="51" spans="1:30">
      <c r="A51" s="1123" t="s">
        <v>116</v>
      </c>
      <c r="B51" s="1099" t="s">
        <v>6</v>
      </c>
      <c r="C51" s="1158"/>
      <c r="F51" s="1140"/>
      <c r="G51" s="1098"/>
      <c r="H51" s="1098"/>
      <c r="I51" s="1098"/>
      <c r="J51" s="1098"/>
      <c r="K51" s="1098"/>
      <c r="L51" s="1098"/>
      <c r="M51" s="1098"/>
      <c r="N51" s="1098"/>
      <c r="O51" s="1098"/>
      <c r="P51" s="1098"/>
      <c r="Q51" s="1098"/>
      <c r="R51" s="1098"/>
      <c r="S51" s="1098"/>
      <c r="T51" s="1098"/>
      <c r="U51" s="1098"/>
      <c r="V51" s="1098"/>
      <c r="W51" s="1098"/>
      <c r="X51" s="1098"/>
      <c r="Y51" s="1098"/>
      <c r="Z51" s="1098"/>
      <c r="AA51" s="1098"/>
      <c r="AB51" s="1098"/>
      <c r="AC51" s="1098"/>
      <c r="AD51" s="1098"/>
    </row>
    <row r="52" spans="1:30">
      <c r="A52" s="1123" t="s">
        <v>118</v>
      </c>
      <c r="B52" s="1099"/>
      <c r="C52" s="1098"/>
      <c r="F52" s="1140"/>
      <c r="G52" s="1159" t="s">
        <v>1066</v>
      </c>
      <c r="H52" s="1098"/>
      <c r="I52" s="1098"/>
      <c r="J52" s="1098"/>
      <c r="K52" s="1098"/>
      <c r="L52" s="1098"/>
      <c r="M52" s="1098"/>
      <c r="N52" s="1098"/>
      <c r="O52" s="1098"/>
      <c r="P52" s="1098"/>
      <c r="Q52" s="1098"/>
      <c r="R52" s="1098"/>
      <c r="S52" s="1098"/>
      <c r="T52" s="1098"/>
      <c r="U52" s="1098"/>
      <c r="V52" s="1098"/>
      <c r="W52" s="1098"/>
      <c r="X52" s="1098"/>
      <c r="Y52" s="1098"/>
      <c r="Z52" s="1098"/>
      <c r="AA52" s="1098"/>
      <c r="AB52" s="1098"/>
      <c r="AC52" s="1098"/>
      <c r="AD52" s="1098"/>
    </row>
    <row r="53" spans="1:30" ht="14.5" thickBot="1">
      <c r="A53" s="1160"/>
      <c r="B53" s="1088" t="s">
        <v>35</v>
      </c>
      <c r="C53" s="1098"/>
      <c r="G53" s="1108" t="s">
        <v>86</v>
      </c>
      <c r="H53" s="1109"/>
      <c r="I53" s="1109"/>
      <c r="J53" s="1109"/>
      <c r="K53" s="1109"/>
      <c r="L53" s="1109"/>
      <c r="M53" s="1109"/>
      <c r="N53" s="1109"/>
      <c r="O53" s="1109"/>
      <c r="P53" s="1109"/>
      <c r="Q53" s="1109"/>
      <c r="R53" s="1109"/>
      <c r="S53" s="1109"/>
      <c r="T53" s="1109"/>
      <c r="U53" s="1109"/>
      <c r="V53" s="1109"/>
      <c r="W53" s="1109"/>
      <c r="X53" s="1109"/>
      <c r="Y53" s="1109"/>
      <c r="Z53" s="1109"/>
      <c r="AA53" s="1109"/>
      <c r="AB53" s="1109"/>
      <c r="AC53" s="1109"/>
      <c r="AD53" s="1110"/>
    </row>
    <row r="54" spans="1:30">
      <c r="B54" s="1117" t="s">
        <v>971</v>
      </c>
      <c r="C54" s="1064"/>
      <c r="G54" s="1161" t="s">
        <v>88</v>
      </c>
      <c r="H54" s="1162"/>
      <c r="I54" s="1162"/>
      <c r="J54" s="1161" t="s">
        <v>89</v>
      </c>
      <c r="K54" s="1162"/>
      <c r="L54" s="1163"/>
      <c r="M54" s="1162" t="s">
        <v>90</v>
      </c>
      <c r="N54" s="1162"/>
      <c r="O54" s="1162"/>
      <c r="P54" s="1161" t="s">
        <v>91</v>
      </c>
      <c r="Q54" s="1162"/>
      <c r="R54" s="1163"/>
      <c r="S54" s="1162" t="s">
        <v>92</v>
      </c>
      <c r="T54" s="1162"/>
      <c r="U54" s="1162"/>
      <c r="V54" s="1161" t="s">
        <v>93</v>
      </c>
      <c r="W54" s="1162"/>
      <c r="X54" s="1163"/>
      <c r="Y54" s="1162" t="s">
        <v>94</v>
      </c>
      <c r="Z54" s="1162"/>
      <c r="AA54" s="1162"/>
      <c r="AB54" s="1161" t="s">
        <v>95</v>
      </c>
      <c r="AC54" s="1162"/>
      <c r="AD54" s="1163"/>
    </row>
    <row r="55" spans="1:30">
      <c r="C55" s="1164" t="s">
        <v>1016</v>
      </c>
      <c r="D55" s="1165" t="s">
        <v>832</v>
      </c>
      <c r="E55" s="1166" t="s">
        <v>1017</v>
      </c>
      <c r="F55" s="1088"/>
      <c r="G55" s="1119" t="s">
        <v>831</v>
      </c>
      <c r="H55" s="1120" t="s">
        <v>832</v>
      </c>
      <c r="I55" s="1121" t="s">
        <v>833</v>
      </c>
      <c r="J55" s="1119" t="s">
        <v>831</v>
      </c>
      <c r="K55" s="1120" t="s">
        <v>832</v>
      </c>
      <c r="L55" s="1121" t="s">
        <v>833</v>
      </c>
      <c r="M55" s="1119" t="s">
        <v>831</v>
      </c>
      <c r="N55" s="1120" t="s">
        <v>832</v>
      </c>
      <c r="O55" s="1121" t="s">
        <v>833</v>
      </c>
      <c r="P55" s="1119" t="s">
        <v>831</v>
      </c>
      <c r="Q55" s="1120" t="s">
        <v>832</v>
      </c>
      <c r="R55" s="1121" t="s">
        <v>833</v>
      </c>
      <c r="S55" s="1119" t="s">
        <v>831</v>
      </c>
      <c r="T55" s="1120" t="s">
        <v>832</v>
      </c>
      <c r="U55" s="1121" t="s">
        <v>833</v>
      </c>
      <c r="V55" s="1119" t="s">
        <v>831</v>
      </c>
      <c r="W55" s="1120" t="s">
        <v>832</v>
      </c>
      <c r="X55" s="1121" t="s">
        <v>833</v>
      </c>
      <c r="Y55" s="1119" t="s">
        <v>831</v>
      </c>
      <c r="Z55" s="1120" t="s">
        <v>832</v>
      </c>
      <c r="AA55" s="1121" t="s">
        <v>833</v>
      </c>
      <c r="AB55" s="1119" t="s">
        <v>831</v>
      </c>
      <c r="AC55" s="1120" t="s">
        <v>832</v>
      </c>
      <c r="AD55" s="1122" t="s">
        <v>833</v>
      </c>
    </row>
    <row r="56" spans="1:30">
      <c r="B56" s="1088" t="s">
        <v>532</v>
      </c>
      <c r="C56" s="1065"/>
      <c r="D56" s="1066"/>
      <c r="E56" s="1067"/>
      <c r="F56" s="1167"/>
      <c r="G56" s="1068"/>
      <c r="H56" s="1069"/>
      <c r="I56" s="1070"/>
      <c r="J56" s="1071"/>
      <c r="K56" s="1069"/>
      <c r="L56" s="1072"/>
      <c r="M56" s="1068"/>
      <c r="N56" s="1069"/>
      <c r="O56" s="1072"/>
      <c r="P56" s="1068"/>
      <c r="Q56" s="1069"/>
      <c r="R56" s="1070"/>
      <c r="S56" s="1071"/>
      <c r="T56" s="1069"/>
      <c r="U56" s="1072"/>
      <c r="V56" s="1068"/>
      <c r="W56" s="1069"/>
      <c r="X56" s="1070"/>
      <c r="Y56" s="1071"/>
      <c r="Z56" s="1069"/>
      <c r="AA56" s="1072"/>
      <c r="AB56" s="1068"/>
      <c r="AC56" s="1069"/>
      <c r="AD56" s="1070"/>
    </row>
    <row r="57" spans="1:30">
      <c r="B57" s="1088" t="s">
        <v>533</v>
      </c>
      <c r="C57" s="1073"/>
      <c r="D57" s="1074"/>
      <c r="E57" s="1075"/>
      <c r="F57" s="1167"/>
      <c r="G57" s="1076"/>
      <c r="H57" s="1077"/>
      <c r="I57" s="1078"/>
      <c r="J57" s="1076"/>
      <c r="K57" s="1077"/>
      <c r="L57" s="1079"/>
      <c r="M57" s="1080"/>
      <c r="N57" s="1077"/>
      <c r="O57" s="1078"/>
      <c r="P57" s="1076"/>
      <c r="Q57" s="1077"/>
      <c r="R57" s="1079"/>
      <c r="S57" s="1080"/>
      <c r="T57" s="1077"/>
      <c r="U57" s="1078"/>
      <c r="V57" s="1076"/>
      <c r="W57" s="1077"/>
      <c r="X57" s="1079"/>
      <c r="Y57" s="1080"/>
      <c r="Z57" s="1077"/>
      <c r="AA57" s="1078"/>
      <c r="AB57" s="1076"/>
      <c r="AC57" s="1077"/>
      <c r="AD57" s="1079"/>
    </row>
    <row r="58" spans="1:30">
      <c r="B58" s="1088"/>
      <c r="C58" s="1088"/>
      <c r="D58" s="1088"/>
      <c r="E58" s="1088"/>
      <c r="F58" s="1088"/>
      <c r="G58" s="1262" t="str">
        <f>IF(AND(G56=0,(G56+J56+M56+P56+S56+V56+Y56+AB56)&gt;=1),"左詰めで入力してください。",IF(G56+J56+M56+P56+S56+V56+Y56+AB56&lt;=C56,"","C52もしくは特殊ケースの地点数を確認してください。"))</f>
        <v/>
      </c>
      <c r="H58" s="1088"/>
      <c r="I58" s="1088"/>
      <c r="J58" s="1088"/>
      <c r="K58" s="1088"/>
      <c r="L58" s="1088"/>
      <c r="M58" s="1088"/>
      <c r="N58" s="1088"/>
      <c r="O58" s="1088"/>
      <c r="P58" s="1088"/>
      <c r="Q58" s="1088"/>
      <c r="R58" s="1088"/>
      <c r="S58" s="1088"/>
      <c r="T58" s="1088"/>
      <c r="U58" s="1088"/>
      <c r="V58" s="1088"/>
      <c r="W58" s="1088"/>
      <c r="X58" s="1088"/>
      <c r="Y58" s="1088"/>
      <c r="Z58" s="1088"/>
      <c r="AA58" s="1088"/>
      <c r="AB58" s="1088"/>
      <c r="AC58" s="1088"/>
      <c r="AD58" s="1088"/>
    </row>
    <row r="59" spans="1:30">
      <c r="B59" s="1084" t="s">
        <v>1227</v>
      </c>
      <c r="C59" s="1081">
        <v>245</v>
      </c>
      <c r="D59" s="1137"/>
      <c r="E59" s="1137"/>
      <c r="F59" s="1098"/>
      <c r="G59" s="1262" t="str">
        <f>IF(AND(G57=0,(G57+J57+M57+P57+S57+V57+Y57+AB57)&gt;=1),"左詰めで入力してください。",IF(G57+J57+M57+P57+S57+V57+Y57+AB57&lt;=C57,"","C53もしくは特殊ケースの地点数を確認してください。"))</f>
        <v/>
      </c>
      <c r="H59" s="1168"/>
      <c r="I59" s="1168"/>
      <c r="J59" s="1168"/>
      <c r="K59" s="1168"/>
      <c r="L59" s="1088"/>
      <c r="M59" s="1088"/>
      <c r="N59" s="1088"/>
      <c r="O59" s="1088"/>
      <c r="P59" s="1088"/>
      <c r="Q59" s="1088"/>
      <c r="R59" s="1088"/>
      <c r="S59" s="1088"/>
      <c r="T59" s="1088"/>
      <c r="U59" s="1088"/>
      <c r="V59" s="1088"/>
      <c r="W59" s="1088"/>
      <c r="X59" s="1088"/>
      <c r="Y59" s="1088"/>
      <c r="Z59" s="1088"/>
      <c r="AA59" s="1088"/>
      <c r="AB59" s="1088"/>
      <c r="AC59" s="1088"/>
      <c r="AD59" s="1088"/>
    </row>
    <row r="60" spans="1:30">
      <c r="B60" s="1084" t="s">
        <v>632</v>
      </c>
      <c r="C60" s="1169">
        <f>SUM(C13:C16)+SUM(C56:C57)</f>
        <v>245</v>
      </c>
    </row>
    <row r="61" spans="1:30">
      <c r="B61" s="1084" t="s">
        <v>633</v>
      </c>
      <c r="C61" s="1170">
        <f>C59-C60</f>
        <v>0</v>
      </c>
    </row>
    <row r="62" spans="1:30" ht="14.25" customHeight="1">
      <c r="C62" s="1264" t="str">
        <f>IF(AND(E8="",H17="",H18="",H19="",H20="",OR(G25="",G25="道路占用料の支払いはありませんか？"),F40="",E42="",G58="",G59="",C61=0),"※正しく入力されています。",IF(OR(C61&gt;0,C61&lt;0),"※C13からC16及びC52・C53の入力を確認して下さい。",""))</f>
        <v>※正しく入力されています。</v>
      </c>
    </row>
    <row r="63" spans="1:30">
      <c r="B63" s="1171"/>
      <c r="C63" s="1264" t="str">
        <f>IF(C7=0,IF(AVERAGE(E40,I40,L40,O40,R40,U40,X40,AA40,AD40)=E40,"","※免税事業者の消費税率が異なる投資がある場合は、「投資額」J22～R37の計算式の入替が必要となります。"),"")</f>
        <v/>
      </c>
      <c r="D63" s="1171"/>
      <c r="E63" s="1171"/>
      <c r="F63" s="1171"/>
      <c r="G63" s="1171"/>
      <c r="H63" s="1171"/>
      <c r="I63" s="1171"/>
    </row>
    <row r="64" spans="1:30">
      <c r="B64" s="1171"/>
      <c r="D64" s="1171"/>
      <c r="E64" s="1171"/>
      <c r="F64" s="1171"/>
      <c r="G64" s="1171"/>
      <c r="H64" s="1171"/>
      <c r="I64" s="1171"/>
    </row>
    <row r="65" spans="2:9">
      <c r="B65" s="1171"/>
      <c r="D65" s="1171"/>
      <c r="E65" s="1171"/>
      <c r="F65" s="1171"/>
      <c r="G65" s="1171"/>
      <c r="H65" s="1171"/>
      <c r="I65" s="1171"/>
    </row>
    <row r="66" spans="2:9">
      <c r="B66" s="1171"/>
      <c r="C66" s="1171"/>
      <c r="D66" s="1171"/>
      <c r="E66" s="1171"/>
      <c r="F66" s="1171"/>
      <c r="G66" s="1171"/>
      <c r="H66" s="1171"/>
      <c r="I66" s="1171"/>
    </row>
    <row r="67" spans="2:9">
      <c r="C67" s="1171"/>
    </row>
  </sheetData>
  <sheetProtection formatCells="0" formatColumns="0" formatRows="0"/>
  <mergeCells count="11">
    <mergeCell ref="E17:G17"/>
    <mergeCell ref="J6:M6"/>
    <mergeCell ref="J2:R2"/>
    <mergeCell ref="J3:M3"/>
    <mergeCell ref="J4:R4"/>
    <mergeCell ref="J1:M1"/>
    <mergeCell ref="N6:R6"/>
    <mergeCell ref="C1:D1"/>
    <mergeCell ref="C2:F2"/>
    <mergeCell ref="C3:F3"/>
    <mergeCell ref="C4:F4"/>
  </mergeCells>
  <phoneticPr fontId="2"/>
  <dataValidations count="7">
    <dataValidation type="list" allowBlank="1" showInputMessage="1" showErrorMessage="1" sqref="C54 G20:G21 C22 C37:C39 C44" xr:uid="{00000000-0002-0000-0000-000000000000}">
      <formula1>"0,1"</formula1>
    </dataValidation>
    <dataValidation type="list" allowBlank="1" showInputMessage="1" showErrorMessage="1" sqref="C50" xr:uid="{00000000-0002-0000-0000-000001000000}">
      <formula1>"1,2,0"</formula1>
    </dataValidation>
    <dataValidation type="list" allowBlank="1" showInputMessage="1" showErrorMessage="1" sqref="C7" xr:uid="{00000000-0002-0000-0000-000002000000}">
      <formula1>"1,0"</formula1>
    </dataValidation>
    <dataValidation type="custom" allowBlank="1" showInputMessage="1" showErrorMessage="1" sqref="D11 D27 J5" xr:uid="{00000000-0002-0000-0000-000003000000}">
      <formula1>D5&lt;48</formula1>
    </dataValidation>
    <dataValidation type="list" allowBlank="1" showInputMessage="1" showErrorMessage="1" sqref="C12" xr:uid="{00000000-0002-0000-0000-000004000000}">
      <formula1>"0,1,2"</formula1>
    </dataValidation>
    <dataValidation type="list" allowBlank="1" showInputMessage="1" showErrorMessage="1" sqref="C29:C36" xr:uid="{00000000-0002-0000-0000-000005000000}">
      <formula1>"1"</formula1>
    </dataValidation>
    <dataValidation type="list" allowBlank="1" showInputMessage="1" showErrorMessage="1" sqref="D8" xr:uid="{00000000-0002-0000-0000-000006000000}">
      <formula1>"Y,N"</formula1>
    </dataValidation>
  </dataValidations>
  <pageMargins left="0.19685039370078741" right="0.19685039370078741" top="0.78740157480314965" bottom="0.78740157480314965" header="0.51181102362204722" footer="0.51181102362204722"/>
  <pageSetup paperSize="9" scale="55" orientation="landscape" horizontalDpi="200" verticalDpi="200" r:id="rId1"/>
  <headerFooter alignWithMargins="0"/>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tabColor indexed="62"/>
    <pageSetUpPr autoPageBreaks="0" fitToPage="1"/>
  </sheetPr>
  <dimension ref="A1:M32"/>
  <sheetViews>
    <sheetView showGridLines="0" zoomScaleNormal="100" zoomScaleSheetLayoutView="100" workbookViewId="0"/>
  </sheetViews>
  <sheetFormatPr defaultColWidth="10.75" defaultRowHeight="28"/>
  <cols>
    <col min="1" max="1" width="18.33203125" style="251" customWidth="1"/>
    <col min="2" max="5" width="13.5" style="251" customWidth="1"/>
    <col min="6" max="6" width="17.08203125" style="251" customWidth="1"/>
    <col min="7" max="7" width="10.75" style="251" customWidth="1"/>
    <col min="8" max="8" width="28.83203125" style="251" customWidth="1"/>
    <col min="9" max="12" width="15" style="251" customWidth="1"/>
    <col min="13" max="16384" width="10.75" style="251"/>
  </cols>
  <sheetData>
    <row r="1" spans="1:13" ht="27" customHeight="1">
      <c r="A1" s="156" t="s">
        <v>513</v>
      </c>
      <c r="B1" s="156"/>
      <c r="C1" s="156"/>
      <c r="D1" s="156"/>
      <c r="E1" s="156"/>
      <c r="F1" s="156"/>
      <c r="G1" s="250"/>
      <c r="H1" s="250"/>
      <c r="I1" s="250"/>
      <c r="J1" s="250"/>
      <c r="K1" s="250"/>
      <c r="L1" s="250"/>
      <c r="M1" s="250"/>
    </row>
    <row r="2" spans="1:13" ht="27" customHeight="1">
      <c r="A2" s="1988" t="s">
        <v>528</v>
      </c>
      <c r="B2" s="1989"/>
      <c r="C2" s="1989"/>
      <c r="D2" s="1989"/>
      <c r="E2" s="1989"/>
      <c r="F2" s="1989"/>
      <c r="G2" s="250"/>
      <c r="H2" s="250"/>
      <c r="I2" s="250"/>
      <c r="J2" s="250"/>
      <c r="K2" s="250"/>
      <c r="L2" s="250"/>
      <c r="M2" s="250"/>
    </row>
    <row r="3" spans="1:13" ht="27" customHeight="1" thickBot="1">
      <c r="A3" s="157"/>
      <c r="B3" s="157"/>
      <c r="C3" s="157"/>
      <c r="D3" s="157"/>
      <c r="E3" s="157"/>
      <c r="F3" s="212" t="s">
        <v>327</v>
      </c>
      <c r="G3" s="250"/>
      <c r="H3" s="250"/>
      <c r="I3" s="250"/>
      <c r="J3" s="250"/>
      <c r="K3" s="250"/>
      <c r="L3" s="250"/>
      <c r="M3" s="250"/>
    </row>
    <row r="4" spans="1:13" ht="27" customHeight="1">
      <c r="A4" s="2002" t="s">
        <v>778</v>
      </c>
      <c r="B4" s="1998" t="s">
        <v>770</v>
      </c>
      <c r="C4" s="1999"/>
      <c r="D4" s="1996" t="s">
        <v>771</v>
      </c>
      <c r="E4" s="1997"/>
      <c r="F4" s="1994" t="s">
        <v>772</v>
      </c>
      <c r="G4" s="250"/>
      <c r="H4" s="250"/>
      <c r="I4" s="250"/>
      <c r="J4" s="250"/>
      <c r="K4" s="250"/>
      <c r="L4" s="250"/>
      <c r="M4" s="250"/>
    </row>
    <row r="5" spans="1:13" ht="27" customHeight="1" thickBot="1">
      <c r="A5" s="2003"/>
      <c r="B5" s="261" t="s">
        <v>274</v>
      </c>
      <c r="C5" s="262" t="s">
        <v>275</v>
      </c>
      <c r="D5" s="750" t="s">
        <v>274</v>
      </c>
      <c r="E5" s="751" t="s">
        <v>275</v>
      </c>
      <c r="F5" s="1995"/>
      <c r="G5" s="250"/>
      <c r="H5" s="252"/>
      <c r="I5" s="250"/>
      <c r="J5" s="250"/>
      <c r="K5" s="250"/>
      <c r="L5" s="250"/>
      <c r="M5" s="250"/>
    </row>
    <row r="6" spans="1:13" ht="27" customHeight="1">
      <c r="A6" s="263" t="s">
        <v>773</v>
      </c>
      <c r="B6" s="264"/>
      <c r="C6" s="265">
        <f>機能別!I8</f>
        <v>7892213</v>
      </c>
      <c r="D6" s="265"/>
      <c r="E6" s="265"/>
      <c r="F6" s="266">
        <f>機能別!N8</f>
        <v>0</v>
      </c>
      <c r="G6" s="250"/>
      <c r="H6" s="250"/>
      <c r="I6" s="250"/>
      <c r="J6" s="250"/>
      <c r="K6" s="250"/>
      <c r="L6" s="250"/>
      <c r="M6" s="250"/>
    </row>
    <row r="7" spans="1:13" ht="27" customHeight="1">
      <c r="A7" s="267" t="s">
        <v>281</v>
      </c>
      <c r="B7" s="268"/>
      <c r="C7" s="269"/>
      <c r="D7" s="269">
        <f>機能別!K9</f>
        <v>2280663</v>
      </c>
      <c r="E7" s="269"/>
      <c r="F7" s="270">
        <f>機能別!N9</f>
        <v>3338118</v>
      </c>
      <c r="G7" s="250"/>
      <c r="H7" s="253"/>
      <c r="I7" s="253"/>
      <c r="J7" s="253"/>
      <c r="K7" s="253"/>
      <c r="L7" s="253"/>
      <c r="M7" s="250"/>
    </row>
    <row r="8" spans="1:13" ht="27" customHeight="1">
      <c r="A8" s="267" t="s">
        <v>283</v>
      </c>
      <c r="B8" s="268">
        <f>機能別!H10</f>
        <v>151086</v>
      </c>
      <c r="C8" s="269"/>
      <c r="D8" s="269">
        <f>機能別!K10</f>
        <v>314280</v>
      </c>
      <c r="E8" s="269"/>
      <c r="F8" s="270">
        <f>機能別!N10</f>
        <v>105227</v>
      </c>
      <c r="G8" s="250"/>
      <c r="H8" s="250"/>
      <c r="I8" s="254"/>
      <c r="J8" s="255"/>
      <c r="K8" s="256"/>
      <c r="L8" s="256"/>
      <c r="M8" s="250"/>
    </row>
    <row r="9" spans="1:13" ht="27" customHeight="1">
      <c r="A9" s="267" t="s">
        <v>284</v>
      </c>
      <c r="B9" s="268">
        <f>機能別!H11</f>
        <v>55191</v>
      </c>
      <c r="C9" s="269"/>
      <c r="D9" s="269">
        <f>機能別!K11</f>
        <v>114805</v>
      </c>
      <c r="E9" s="269"/>
      <c r="F9" s="270">
        <f>機能別!N11</f>
        <v>38439</v>
      </c>
      <c r="G9" s="250"/>
      <c r="H9" s="250"/>
      <c r="I9" s="257"/>
      <c r="J9" s="257"/>
      <c r="K9" s="257"/>
      <c r="L9" s="257"/>
      <c r="M9" s="250"/>
    </row>
    <row r="10" spans="1:13" ht="27" customHeight="1">
      <c r="A10" s="267" t="s">
        <v>161</v>
      </c>
      <c r="B10" s="268"/>
      <c r="C10" s="269"/>
      <c r="D10" s="269">
        <f>機能別!K12</f>
        <v>171500</v>
      </c>
      <c r="E10" s="269"/>
      <c r="F10" s="270">
        <f>機能別!N12</f>
        <v>0</v>
      </c>
      <c r="G10" s="250"/>
      <c r="H10" s="250"/>
      <c r="I10" s="258"/>
      <c r="J10" s="259"/>
      <c r="K10" s="256"/>
      <c r="L10" s="256"/>
      <c r="M10" s="250"/>
    </row>
    <row r="11" spans="1:13" ht="27" customHeight="1">
      <c r="A11" s="267" t="s">
        <v>334</v>
      </c>
      <c r="B11" s="268">
        <f>機能別!H15</f>
        <v>1010043</v>
      </c>
      <c r="C11" s="269"/>
      <c r="D11" s="269">
        <f>機能別!K15</f>
        <v>2207161</v>
      </c>
      <c r="E11" s="269"/>
      <c r="F11" s="270">
        <f>機能別!N15</f>
        <v>858805</v>
      </c>
      <c r="G11" s="250"/>
      <c r="H11" s="250"/>
      <c r="I11" s="257"/>
      <c r="J11" s="257"/>
      <c r="K11" s="257"/>
      <c r="L11" s="257"/>
      <c r="M11" s="250"/>
    </row>
    <row r="12" spans="1:13" ht="27" customHeight="1">
      <c r="A12" s="267" t="s">
        <v>292</v>
      </c>
      <c r="B12" s="268">
        <f>機能別!H17</f>
        <v>784597</v>
      </c>
      <c r="C12" s="269">
        <f>機能別!I17</f>
        <v>581683</v>
      </c>
      <c r="D12" s="269">
        <f>機能別!K17</f>
        <v>438308</v>
      </c>
      <c r="E12" s="269">
        <f>機能別!L17</f>
        <v>324953</v>
      </c>
      <c r="F12" s="270">
        <f>機能別!N17</f>
        <v>651089</v>
      </c>
      <c r="G12" s="250"/>
      <c r="H12" s="250"/>
      <c r="I12" s="250"/>
      <c r="J12" s="250"/>
      <c r="K12" s="250"/>
      <c r="L12" s="250"/>
      <c r="M12" s="250"/>
    </row>
    <row r="13" spans="1:13" ht="27" customHeight="1">
      <c r="A13" s="267" t="s">
        <v>338</v>
      </c>
      <c r="B13" s="268">
        <f>機能別!H19</f>
        <v>78646</v>
      </c>
      <c r="C13" s="269">
        <f>機能別!I19</f>
        <v>333065</v>
      </c>
      <c r="D13" s="269">
        <f>機能別!K19</f>
        <v>808858</v>
      </c>
      <c r="E13" s="269">
        <f>機能別!L19</f>
        <v>47558</v>
      </c>
      <c r="F13" s="270">
        <f>機能別!N19</f>
        <v>286745</v>
      </c>
      <c r="G13" s="250"/>
      <c r="H13" s="250"/>
      <c r="I13" s="250"/>
      <c r="J13" s="250"/>
      <c r="K13" s="250"/>
      <c r="L13" s="250"/>
      <c r="M13" s="250"/>
    </row>
    <row r="14" spans="1:13" ht="45" customHeight="1">
      <c r="A14" s="1484" t="s">
        <v>1180</v>
      </c>
      <c r="B14" s="268">
        <f>機能別!H20</f>
        <v>5876</v>
      </c>
      <c r="C14" s="269">
        <f>機能別!I20</f>
        <v>24887</v>
      </c>
      <c r="D14" s="269">
        <f>機能別!K20</f>
        <v>60437</v>
      </c>
      <c r="E14" s="269">
        <f>機能別!L20</f>
        <v>3554</v>
      </c>
      <c r="F14" s="270">
        <f>機能別!N20</f>
        <v>21425.634999999995</v>
      </c>
      <c r="G14" s="250"/>
      <c r="H14" s="250"/>
      <c r="I14" s="250"/>
      <c r="J14" s="260"/>
      <c r="K14" s="260"/>
      <c r="L14" s="260"/>
      <c r="M14" s="250"/>
    </row>
    <row r="15" spans="1:13" ht="27" customHeight="1">
      <c r="A15" s="267" t="s">
        <v>340</v>
      </c>
      <c r="B15" s="268">
        <f>機能別!H22</f>
        <v>448</v>
      </c>
      <c r="C15" s="269">
        <f>機能別!I22</f>
        <v>1899</v>
      </c>
      <c r="D15" s="269">
        <f>機能別!K22</f>
        <v>1375</v>
      </c>
      <c r="E15" s="269">
        <f>機能別!L22</f>
        <v>81</v>
      </c>
      <c r="F15" s="270">
        <f>機能別!N22</f>
        <v>1139</v>
      </c>
      <c r="G15" s="250"/>
      <c r="H15" s="250"/>
      <c r="I15" s="250"/>
      <c r="J15" s="250"/>
      <c r="K15" s="250"/>
      <c r="L15" s="250"/>
      <c r="M15" s="250"/>
    </row>
    <row r="16" spans="1:13" ht="33" customHeight="1" thickBot="1">
      <c r="A16" s="271" t="s">
        <v>341</v>
      </c>
      <c r="B16" s="272">
        <f>SUM(B6:B15)</f>
        <v>2085887</v>
      </c>
      <c r="C16" s="273">
        <f>SUM(C6:C15)</f>
        <v>8833747</v>
      </c>
      <c r="D16" s="273">
        <f>SUM(D6:D15)</f>
        <v>6397387</v>
      </c>
      <c r="E16" s="273">
        <f>SUM(E6:E15)</f>
        <v>376146</v>
      </c>
      <c r="F16" s="274">
        <f>SUM(F6:F15)</f>
        <v>5300987.6349999998</v>
      </c>
      <c r="G16" s="250"/>
      <c r="H16" s="250"/>
      <c r="I16" s="250"/>
      <c r="J16" s="250"/>
      <c r="K16" s="250"/>
      <c r="L16" s="250"/>
      <c r="M16" s="250"/>
    </row>
    <row r="17" spans="1:13" ht="27" customHeight="1">
      <c r="A17" s="213"/>
      <c r="B17" s="213"/>
      <c r="C17" s="213"/>
      <c r="D17" s="213"/>
      <c r="E17" s="213"/>
      <c r="F17" s="213"/>
      <c r="G17" s="250"/>
      <c r="H17" s="250"/>
      <c r="I17" s="250"/>
      <c r="J17" s="250"/>
      <c r="K17" s="250"/>
      <c r="L17" s="250"/>
      <c r="M17" s="250"/>
    </row>
    <row r="18" spans="1:13" ht="27" customHeight="1">
      <c r="A18" s="213" t="s">
        <v>530</v>
      </c>
      <c r="B18" s="213"/>
      <c r="C18" s="213"/>
      <c r="D18" s="213"/>
      <c r="E18" s="213"/>
      <c r="F18" s="213"/>
      <c r="G18" s="250"/>
      <c r="H18" s="250"/>
      <c r="I18" s="250"/>
      <c r="J18" s="250"/>
      <c r="K18" s="250"/>
      <c r="L18" s="250"/>
      <c r="M18" s="250"/>
    </row>
    <row r="19" spans="1:13" ht="27" customHeight="1">
      <c r="A19" s="1990" t="s">
        <v>529</v>
      </c>
      <c r="B19" s="1922"/>
      <c r="C19" s="1922"/>
      <c r="D19" s="1922"/>
      <c r="E19" s="1922"/>
      <c r="F19" s="1922"/>
      <c r="G19" s="250"/>
      <c r="H19" s="250"/>
      <c r="I19" s="250"/>
      <c r="J19" s="250"/>
      <c r="K19" s="250"/>
      <c r="L19" s="250"/>
      <c r="M19" s="250"/>
    </row>
    <row r="20" spans="1:13" ht="27" customHeight="1" thickBot="1">
      <c r="A20" s="159"/>
      <c r="B20" s="159"/>
      <c r="C20" s="159"/>
      <c r="D20" s="159"/>
      <c r="E20" s="159"/>
      <c r="F20" s="158"/>
      <c r="G20" s="249"/>
      <c r="H20" s="249"/>
      <c r="I20" s="249"/>
      <c r="J20" s="249"/>
      <c r="K20" s="249"/>
      <c r="L20" s="249"/>
      <c r="M20" s="249"/>
    </row>
    <row r="21" spans="1:13" ht="27" customHeight="1" thickBot="1">
      <c r="A21" s="2000" t="s">
        <v>774</v>
      </c>
      <c r="B21" s="2001"/>
      <c r="C21" s="1991" t="s">
        <v>653</v>
      </c>
      <c r="D21" s="1993"/>
      <c r="E21" s="1991" t="s">
        <v>652</v>
      </c>
      <c r="F21" s="1992"/>
      <c r="G21" s="249"/>
      <c r="H21" s="249"/>
      <c r="I21" s="249"/>
      <c r="J21" s="249"/>
      <c r="K21" s="249"/>
      <c r="L21" s="249"/>
      <c r="M21" s="249"/>
    </row>
    <row r="22" spans="1:13" ht="27" customHeight="1">
      <c r="A22" s="1974" t="s">
        <v>342</v>
      </c>
      <c r="B22" s="1969"/>
      <c r="C22" s="1968" t="s">
        <v>765</v>
      </c>
      <c r="D22" s="1969"/>
      <c r="E22" s="574" t="str">
        <f>IF(機能別!U6=0,"-",機能別!U6)</f>
        <v>-</v>
      </c>
      <c r="F22" s="577" t="s">
        <v>668</v>
      </c>
      <c r="G22" s="249"/>
      <c r="H22" s="249"/>
      <c r="I22" s="249"/>
      <c r="J22" s="249"/>
      <c r="K22" s="249"/>
      <c r="L22" s="249"/>
      <c r="M22" s="249"/>
    </row>
    <row r="23" spans="1:13" ht="27" customHeight="1">
      <c r="A23" s="1975" t="s">
        <v>766</v>
      </c>
      <c r="B23" s="1971"/>
      <c r="C23" s="1970" t="s">
        <v>767</v>
      </c>
      <c r="D23" s="1971"/>
      <c r="E23" s="575" t="str">
        <f>IF(機能別!U7=0,"-",機能別!U7)</f>
        <v>-</v>
      </c>
      <c r="F23" s="578" t="s">
        <v>668</v>
      </c>
      <c r="G23" s="250"/>
      <c r="H23" s="249"/>
      <c r="I23" s="249"/>
      <c r="J23" s="249"/>
      <c r="K23" s="249"/>
      <c r="L23" s="249"/>
      <c r="M23" s="249"/>
    </row>
    <row r="24" spans="1:13" ht="27" customHeight="1">
      <c r="A24" s="1975" t="s">
        <v>768</v>
      </c>
      <c r="B24" s="1971"/>
      <c r="C24" s="1970" t="s">
        <v>769</v>
      </c>
      <c r="D24" s="1971"/>
      <c r="E24" s="575" t="str">
        <f>IF(機能別!U8=0,"-",機能別!U8)</f>
        <v>-</v>
      </c>
      <c r="F24" s="578" t="s">
        <v>668</v>
      </c>
      <c r="G24" s="250"/>
      <c r="H24" s="249"/>
      <c r="I24" s="249"/>
      <c r="J24" s="249"/>
      <c r="K24" s="249"/>
      <c r="L24" s="249"/>
      <c r="M24" s="249"/>
    </row>
    <row r="25" spans="1:13" ht="27" customHeight="1" thickBot="1">
      <c r="A25" s="1976" t="s">
        <v>703</v>
      </c>
      <c r="B25" s="1973"/>
      <c r="C25" s="1972" t="s">
        <v>1222</v>
      </c>
      <c r="D25" s="1973"/>
      <c r="E25" s="576" t="str">
        <f>IF(機能別!U9=0,"-",機能別!U9)</f>
        <v>-</v>
      </c>
      <c r="F25" s="579" t="s">
        <v>343</v>
      </c>
      <c r="G25" s="250"/>
      <c r="H25" s="249"/>
      <c r="I25" s="249"/>
      <c r="J25" s="249"/>
      <c r="K25" s="249"/>
      <c r="L25" s="249"/>
      <c r="M25" s="249"/>
    </row>
    <row r="26" spans="1:13" ht="27" customHeight="1" thickBot="1">
      <c r="A26" s="275"/>
      <c r="B26" s="275"/>
      <c r="C26" s="275"/>
      <c r="D26" s="275"/>
      <c r="E26" s="276"/>
      <c r="F26" s="277"/>
      <c r="G26" s="250"/>
      <c r="H26" s="249"/>
      <c r="I26" s="249"/>
      <c r="J26" s="249"/>
      <c r="K26" s="249"/>
      <c r="L26" s="249"/>
      <c r="M26" s="249"/>
    </row>
    <row r="27" spans="1:13" ht="27" customHeight="1">
      <c r="A27" s="1977" t="s">
        <v>704</v>
      </c>
      <c r="B27" s="1978"/>
      <c r="C27" s="1979" t="s">
        <v>1199</v>
      </c>
      <c r="D27" s="1980"/>
      <c r="E27" s="1981" t="s">
        <v>1198</v>
      </c>
      <c r="F27" s="1982"/>
      <c r="G27" s="250"/>
      <c r="H27" s="249"/>
      <c r="I27" s="249"/>
      <c r="J27" s="249"/>
      <c r="K27" s="249"/>
      <c r="L27" s="249"/>
      <c r="M27" s="249"/>
    </row>
    <row r="28" spans="1:13" ht="27" customHeight="1" thickBot="1">
      <c r="A28" s="1983">
        <f>機能別!W10</f>
        <v>22994154.634999998</v>
      </c>
      <c r="B28" s="1984"/>
      <c r="C28" s="1985">
        <f>機能別!Y10</f>
        <v>0</v>
      </c>
      <c r="D28" s="1986"/>
      <c r="E28" s="1985">
        <f>機能別!AA10</f>
        <v>0</v>
      </c>
      <c r="F28" s="1987"/>
      <c r="G28" s="250"/>
      <c r="H28" s="249"/>
      <c r="I28" s="249"/>
      <c r="J28" s="249"/>
      <c r="K28" s="249"/>
      <c r="L28" s="249"/>
      <c r="M28" s="249"/>
    </row>
    <row r="29" spans="1:13" ht="27" customHeight="1">
      <c r="G29" s="250"/>
      <c r="H29" s="249"/>
      <c r="I29" s="249"/>
      <c r="J29" s="249"/>
      <c r="K29" s="249"/>
      <c r="L29" s="249"/>
      <c r="M29" s="249"/>
    </row>
    <row r="30" spans="1:13" ht="27" customHeight="1">
      <c r="G30" s="250"/>
      <c r="H30" s="249"/>
      <c r="I30" s="249"/>
      <c r="J30" s="249"/>
      <c r="K30" s="249"/>
      <c r="L30" s="249"/>
      <c r="M30" s="249"/>
    </row>
    <row r="31" spans="1:13" ht="27" customHeight="1">
      <c r="G31" s="250"/>
      <c r="H31" s="249"/>
      <c r="I31" s="249"/>
      <c r="J31" s="249"/>
      <c r="K31" s="249"/>
      <c r="L31" s="249"/>
      <c r="M31" s="249"/>
    </row>
    <row r="32" spans="1:13" ht="27" customHeight="1"/>
  </sheetData>
  <mergeCells count="23">
    <mergeCell ref="A2:F2"/>
    <mergeCell ref="A19:F19"/>
    <mergeCell ref="E21:F21"/>
    <mergeCell ref="C21:D21"/>
    <mergeCell ref="F4:F5"/>
    <mergeCell ref="D4:E4"/>
    <mergeCell ref="B4:C4"/>
    <mergeCell ref="A21:B21"/>
    <mergeCell ref="A4:A5"/>
    <mergeCell ref="A27:B27"/>
    <mergeCell ref="C27:D27"/>
    <mergeCell ref="E27:F27"/>
    <mergeCell ref="A28:B28"/>
    <mergeCell ref="C28:D28"/>
    <mergeCell ref="E28:F28"/>
    <mergeCell ref="C22:D22"/>
    <mergeCell ref="C23:D23"/>
    <mergeCell ref="C24:D24"/>
    <mergeCell ref="C25:D25"/>
    <mergeCell ref="A22:B22"/>
    <mergeCell ref="A23:B23"/>
    <mergeCell ref="A24:B24"/>
    <mergeCell ref="A25:B25"/>
  </mergeCells>
  <phoneticPr fontId="2"/>
  <pageMargins left="0.59" right="0.2" top="1" bottom="0.78740157480314965" header="0.51181102362204722" footer="0.51181102362204722"/>
  <pageSetup paperSize="9" scale="98" orientation="portrait" horizontalDpi="200" verticalDpi="2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tabColor indexed="62"/>
    <pageSetUpPr fitToPage="1"/>
  </sheetPr>
  <dimension ref="A1:D9"/>
  <sheetViews>
    <sheetView showGridLines="0" zoomScaleNormal="100" workbookViewId="0"/>
  </sheetViews>
  <sheetFormatPr defaultColWidth="9" defaultRowHeight="14"/>
  <cols>
    <col min="1" max="1" width="23.83203125" style="215" customWidth="1"/>
    <col min="2" max="2" width="21.08203125" style="215" customWidth="1"/>
    <col min="3" max="3" width="20.33203125" style="215" customWidth="1"/>
    <col min="4" max="4" width="23.83203125" style="215" customWidth="1"/>
    <col min="5" max="16384" width="9" style="215"/>
  </cols>
  <sheetData>
    <row r="1" spans="1:4" ht="27" customHeight="1">
      <c r="A1" s="214" t="s">
        <v>508</v>
      </c>
      <c r="B1" s="216"/>
      <c r="C1" s="216"/>
      <c r="D1" s="216"/>
    </row>
    <row r="2" spans="1:4" s="214" customFormat="1" ht="27" customHeight="1">
      <c r="A2" s="216"/>
      <c r="B2" s="216"/>
      <c r="C2" s="216"/>
      <c r="D2" s="216"/>
    </row>
    <row r="3" spans="1:4" ht="27" customHeight="1">
      <c r="A3" s="214"/>
      <c r="B3" s="214"/>
      <c r="C3" s="214"/>
      <c r="D3" s="214"/>
    </row>
    <row r="4" spans="1:4" ht="27" customHeight="1">
      <c r="A4" s="1922" t="s">
        <v>509</v>
      </c>
      <c r="B4" s="1922"/>
      <c r="C4" s="1922"/>
      <c r="D4" s="1922"/>
    </row>
    <row r="5" spans="1:4" s="216" customFormat="1" ht="27" customHeight="1">
      <c r="A5" s="215"/>
      <c r="B5" s="215"/>
      <c r="C5" s="215"/>
      <c r="D5" s="215"/>
    </row>
    <row r="6" spans="1:4" ht="27" customHeight="1" thickBot="1"/>
    <row r="7" spans="1:4" ht="33" customHeight="1">
      <c r="A7" s="395" t="s">
        <v>775</v>
      </c>
      <c r="B7" s="396" t="s">
        <v>776</v>
      </c>
      <c r="C7" s="396" t="s">
        <v>777</v>
      </c>
      <c r="D7" s="397" t="s">
        <v>71</v>
      </c>
    </row>
    <row r="8" spans="1:4" ht="33" customHeight="1" thickBot="1">
      <c r="A8" s="580">
        <f>展開!A28</f>
        <v>22994154.634999998</v>
      </c>
      <c r="B8" s="1369">
        <f>IF(基本入力!D8="Y",投資額!G6,IF(基本入力!C9&gt;0,基本入力!C9,販売量ﾃﾞｰﾀ!H39))</f>
        <v>38514</v>
      </c>
      <c r="C8" s="581">
        <f>ROUND(A8/B8,2)</f>
        <v>597.03</v>
      </c>
      <c r="D8" s="582">
        <f>参考資料!S8</f>
        <v>20976684</v>
      </c>
    </row>
    <row r="9" spans="1:4" ht="27" customHeight="1"/>
  </sheetData>
  <sheetProtection sheet="1"/>
  <mergeCells count="1">
    <mergeCell ref="A4:D4"/>
  </mergeCells>
  <phoneticPr fontId="22"/>
  <printOptions horizontalCentered="1"/>
  <pageMargins left="0.59" right="0.21" top="0.98425196850393704" bottom="0.98425196850393704" header="0.51181102362204722" footer="0.51181102362204722"/>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26">
    <tabColor indexed="50"/>
    <pageSetUpPr autoPageBreaks="0" fitToPage="1"/>
  </sheetPr>
  <dimension ref="A1:D18"/>
  <sheetViews>
    <sheetView showGridLines="0" zoomScaleNormal="100" workbookViewId="0">
      <selection activeCell="L30" sqref="L30"/>
    </sheetView>
  </sheetViews>
  <sheetFormatPr defaultRowHeight="14"/>
  <cols>
    <col min="1" max="1" width="10.58203125" style="1274" customWidth="1"/>
    <col min="2" max="4" width="24.58203125" customWidth="1"/>
  </cols>
  <sheetData>
    <row r="1" spans="1:4" ht="24" customHeight="1">
      <c r="A1" s="2004" t="s">
        <v>1041</v>
      </c>
      <c r="B1" s="2004"/>
      <c r="C1" s="2004"/>
      <c r="D1" s="2004"/>
    </row>
    <row r="2" spans="1:4" ht="24" customHeight="1" thickBot="1"/>
    <row r="3" spans="1:4" s="1274" customFormat="1" ht="24" customHeight="1">
      <c r="A3" s="1275"/>
      <c r="B3" s="1276" t="s">
        <v>1042</v>
      </c>
      <c r="C3" s="1276" t="s">
        <v>1043</v>
      </c>
      <c r="D3" s="1277" t="s">
        <v>1044</v>
      </c>
    </row>
    <row r="4" spans="1:4" ht="24" customHeight="1">
      <c r="A4" s="1278">
        <v>4</v>
      </c>
      <c r="B4" s="1279">
        <v>12000</v>
      </c>
      <c r="C4" s="1280">
        <v>1210000</v>
      </c>
      <c r="D4" s="1281">
        <f t="shared" ref="D4:D16" si="0">IF(B4="","",C4/B4)</f>
        <v>100.83333333333333</v>
      </c>
    </row>
    <row r="5" spans="1:4" ht="24" customHeight="1">
      <c r="A5" s="1282">
        <f t="shared" ref="A5:A15" si="1">IF(A4&lt;12,A4+1,A4-12+1)</f>
        <v>5</v>
      </c>
      <c r="B5" s="1279">
        <v>9000</v>
      </c>
      <c r="C5" s="1283">
        <v>830000</v>
      </c>
      <c r="D5" s="1281">
        <f t="shared" si="0"/>
        <v>92.222222222222229</v>
      </c>
    </row>
    <row r="6" spans="1:4" ht="24" customHeight="1">
      <c r="A6" s="1282">
        <f t="shared" si="1"/>
        <v>6</v>
      </c>
      <c r="B6" s="1279">
        <v>8000</v>
      </c>
      <c r="C6" s="1283">
        <v>690000</v>
      </c>
      <c r="D6" s="1281">
        <f t="shared" si="0"/>
        <v>86.25</v>
      </c>
    </row>
    <row r="7" spans="1:4" ht="24" customHeight="1">
      <c r="A7" s="1282">
        <f t="shared" si="1"/>
        <v>7</v>
      </c>
      <c r="B7" s="1284">
        <v>7000</v>
      </c>
      <c r="C7" s="1280">
        <v>526000</v>
      </c>
      <c r="D7" s="1281">
        <f t="shared" si="0"/>
        <v>75.142857142857139</v>
      </c>
    </row>
    <row r="8" spans="1:4" ht="24" customHeight="1">
      <c r="A8" s="1282">
        <f t="shared" si="1"/>
        <v>8</v>
      </c>
      <c r="B8" s="1279">
        <v>7000</v>
      </c>
      <c r="C8" s="1283">
        <v>519000</v>
      </c>
      <c r="D8" s="1281">
        <f t="shared" si="0"/>
        <v>74.142857142857139</v>
      </c>
    </row>
    <row r="9" spans="1:4" ht="24" customHeight="1">
      <c r="A9" s="1282">
        <f t="shared" si="1"/>
        <v>9</v>
      </c>
      <c r="B9" s="1279">
        <v>8000</v>
      </c>
      <c r="C9" s="1283">
        <v>623000</v>
      </c>
      <c r="D9" s="1281">
        <f t="shared" si="0"/>
        <v>77.875</v>
      </c>
    </row>
    <row r="10" spans="1:4" ht="24" customHeight="1">
      <c r="A10" s="1282">
        <f t="shared" si="1"/>
        <v>10</v>
      </c>
      <c r="B10" s="1279">
        <v>9000</v>
      </c>
      <c r="C10" s="1283">
        <v>911000</v>
      </c>
      <c r="D10" s="1281">
        <f t="shared" si="0"/>
        <v>101.22222222222223</v>
      </c>
    </row>
    <row r="11" spans="1:4" ht="24" customHeight="1">
      <c r="A11" s="1282">
        <f t="shared" si="1"/>
        <v>11</v>
      </c>
      <c r="B11" s="1284">
        <v>10000</v>
      </c>
      <c r="C11" s="1280">
        <v>1090000</v>
      </c>
      <c r="D11" s="1281">
        <f t="shared" si="0"/>
        <v>109</v>
      </c>
    </row>
    <row r="12" spans="1:4" ht="24" customHeight="1">
      <c r="A12" s="1282">
        <f t="shared" si="1"/>
        <v>12</v>
      </c>
      <c r="B12" s="1279">
        <v>11000</v>
      </c>
      <c r="C12" s="1283">
        <v>1247000</v>
      </c>
      <c r="D12" s="1281">
        <f t="shared" si="0"/>
        <v>113.36363636363636</v>
      </c>
    </row>
    <row r="13" spans="1:4" ht="24" customHeight="1">
      <c r="A13" s="1282">
        <f t="shared" si="1"/>
        <v>1</v>
      </c>
      <c r="B13" s="1279">
        <v>12000</v>
      </c>
      <c r="C13" s="1283">
        <v>1410000</v>
      </c>
      <c r="D13" s="1281">
        <f t="shared" si="0"/>
        <v>117.5</v>
      </c>
    </row>
    <row r="14" spans="1:4" ht="24" customHeight="1">
      <c r="A14" s="1282">
        <f t="shared" si="1"/>
        <v>2</v>
      </c>
      <c r="B14" s="1279">
        <v>14000</v>
      </c>
      <c r="C14" s="1283">
        <v>1580000</v>
      </c>
      <c r="D14" s="1281">
        <f t="shared" si="0"/>
        <v>112.85714285714286</v>
      </c>
    </row>
    <row r="15" spans="1:4" ht="24" customHeight="1" thickBot="1">
      <c r="A15" s="1285">
        <f t="shared" si="1"/>
        <v>3</v>
      </c>
      <c r="B15" s="1286">
        <v>14000</v>
      </c>
      <c r="C15" s="1287">
        <v>1466000</v>
      </c>
      <c r="D15" s="1288">
        <f t="shared" si="0"/>
        <v>104.71428571428571</v>
      </c>
    </row>
    <row r="16" spans="1:4" ht="24" customHeight="1" thickTop="1" thickBot="1">
      <c r="A16" s="1289" t="s">
        <v>1145</v>
      </c>
      <c r="B16" s="1290">
        <f>IF(B4="","",SUM(B4:B15))</f>
        <v>121000</v>
      </c>
      <c r="C16" s="1291">
        <f>IF(C4="","",SUM(C4:C15))</f>
        <v>12102000</v>
      </c>
      <c r="D16" s="1292">
        <f t="shared" si="0"/>
        <v>100.01652892561984</v>
      </c>
    </row>
    <row r="18" spans="1:3">
      <c r="A18" s="779"/>
      <c r="B18" s="979" t="s">
        <v>510</v>
      </c>
      <c r="C18" s="779"/>
    </row>
  </sheetData>
  <sheetProtection sheet="1"/>
  <mergeCells count="1">
    <mergeCell ref="A1:D1"/>
  </mergeCells>
  <phoneticPr fontId="22"/>
  <pageMargins left="0.59" right="0.53" top="1" bottom="1" header="0.51200000000000001" footer="0.51200000000000001"/>
  <pageSetup paperSize="9" orientation="portrait" r:id="rId1"/>
  <headerFooter alignWithMargins="0"/>
  <drawing r:id="rId2"/>
  <legacy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27">
    <tabColor indexed="62"/>
  </sheetPr>
  <dimension ref="A1:N22"/>
  <sheetViews>
    <sheetView zoomScale="75" workbookViewId="0">
      <selection activeCell="A16" sqref="A16:H16"/>
    </sheetView>
  </sheetViews>
  <sheetFormatPr defaultRowHeight="14"/>
  <sheetData>
    <row r="1" spans="1:14" ht="193.5" customHeight="1">
      <c r="A1" s="2006" t="s">
        <v>25</v>
      </c>
      <c r="B1" s="2007"/>
      <c r="C1" s="2007"/>
      <c r="D1" s="2007"/>
      <c r="E1" s="2007"/>
      <c r="F1" s="2007"/>
      <c r="G1" s="2007"/>
      <c r="H1" s="2007"/>
      <c r="I1" s="1024"/>
      <c r="J1" s="1024"/>
      <c r="K1" s="1024"/>
      <c r="L1" s="1024"/>
      <c r="M1" s="1024"/>
      <c r="N1" s="1024"/>
    </row>
    <row r="5" spans="1:14" s="1024" customFormat="1" ht="54" customHeight="1">
      <c r="A5" s="2005" t="s">
        <v>23</v>
      </c>
      <c r="B5" s="2005"/>
      <c r="C5" s="2005"/>
      <c r="D5" s="2005"/>
      <c r="E5" s="2005"/>
      <c r="F5" s="2005"/>
      <c r="G5" s="2005"/>
      <c r="H5" s="2005"/>
    </row>
    <row r="9" spans="1:14">
      <c r="A9" t="s">
        <v>27</v>
      </c>
    </row>
    <row r="12" spans="1:14">
      <c r="A12" t="s">
        <v>28</v>
      </c>
    </row>
    <row r="16" spans="1:14" ht="228" customHeight="1">
      <c r="A16" s="2008" t="s">
        <v>1037</v>
      </c>
      <c r="B16" s="2009"/>
      <c r="C16" s="2009"/>
      <c r="D16" s="2009"/>
      <c r="E16" s="2009"/>
      <c r="F16" s="2009"/>
      <c r="G16" s="2009"/>
      <c r="H16" s="2009"/>
      <c r="I16" s="1024" t="s">
        <v>1048</v>
      </c>
      <c r="J16" s="1024" t="s">
        <v>1050</v>
      </c>
      <c r="K16" s="1024" t="s">
        <v>1036</v>
      </c>
      <c r="L16" s="1024" t="s">
        <v>1051</v>
      </c>
    </row>
    <row r="18" spans="1:1">
      <c r="A18" s="194" t="s">
        <v>1048</v>
      </c>
    </row>
    <row r="19" spans="1:1">
      <c r="A19" s="194" t="s">
        <v>1050</v>
      </c>
    </row>
    <row r="20" spans="1:1">
      <c r="A20" s="194"/>
    </row>
    <row r="21" spans="1:1">
      <c r="A21" s="194" t="s">
        <v>1051</v>
      </c>
    </row>
    <row r="22" spans="1:1">
      <c r="A22" s="194" t="s">
        <v>1048</v>
      </c>
    </row>
  </sheetData>
  <mergeCells count="3">
    <mergeCell ref="A5:H5"/>
    <mergeCell ref="A1:H1"/>
    <mergeCell ref="A16:H16"/>
  </mergeCells>
  <phoneticPr fontId="22"/>
  <pageMargins left="0.75" right="0.75" top="1" bottom="1" header="0.51200000000000001" footer="0.51200000000000001"/>
  <pageSetup paperSize="9"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1">
    <tabColor indexed="50"/>
    <pageSetUpPr autoPageBreaks="0" fitToPage="1"/>
  </sheetPr>
  <dimension ref="A1:U52"/>
  <sheetViews>
    <sheetView showGridLines="0" zoomScaleNormal="100" workbookViewId="0"/>
  </sheetViews>
  <sheetFormatPr defaultColWidth="10.83203125" defaultRowHeight="14"/>
  <cols>
    <col min="1" max="1" width="9" style="420" customWidth="1"/>
    <col min="2" max="2" width="30.5" style="420" customWidth="1"/>
    <col min="3" max="6" width="14.58203125" style="420" customWidth="1"/>
    <col min="7" max="7" width="9" style="420" customWidth="1"/>
    <col min="8" max="8" width="10.83203125" style="420" customWidth="1"/>
    <col min="9" max="9" width="28.5" style="420" customWidth="1"/>
    <col min="10" max="13" width="15.08203125" style="420" customWidth="1"/>
    <col min="14" max="14" width="10.83203125" style="420" customWidth="1"/>
    <col min="15" max="15" width="10.5" style="420" customWidth="1"/>
    <col min="16" max="16" width="19.08203125" style="420" customWidth="1"/>
    <col min="17" max="19" width="18.75" style="420" customWidth="1"/>
    <col min="20" max="20" width="13.58203125" style="420" customWidth="1"/>
    <col min="21" max="16384" width="10.83203125" style="420"/>
  </cols>
  <sheetData>
    <row r="1" spans="1:21" s="398" customFormat="1" ht="24" customHeight="1">
      <c r="A1" s="165"/>
      <c r="G1" s="156"/>
      <c r="H1" s="399"/>
      <c r="N1" s="399"/>
      <c r="O1" s="399"/>
      <c r="U1" s="399"/>
    </row>
    <row r="2" spans="1:21" s="218" customFormat="1" ht="24" customHeight="1">
      <c r="A2" s="165"/>
      <c r="B2" s="1988" t="s">
        <v>537</v>
      </c>
      <c r="C2" s="1988"/>
      <c r="D2" s="1988"/>
      <c r="E2" s="1988"/>
      <c r="F2" s="1988"/>
      <c r="G2" s="159"/>
      <c r="H2" s="217"/>
      <c r="I2" s="2011" t="s">
        <v>780</v>
      </c>
      <c r="J2" s="2011"/>
      <c r="K2" s="2011"/>
      <c r="L2" s="2011"/>
      <c r="M2" s="2011"/>
      <c r="N2" s="217"/>
      <c r="O2" s="217"/>
      <c r="P2" s="2011" t="s">
        <v>538</v>
      </c>
      <c r="Q2" s="2011"/>
      <c r="R2" s="2011"/>
      <c r="S2" s="2011"/>
      <c r="T2" s="2011"/>
      <c r="U2" s="217"/>
    </row>
    <row r="3" spans="1:21" s="218" customFormat="1" ht="24" customHeight="1" thickBot="1">
      <c r="A3" s="158"/>
      <c r="B3" s="159"/>
      <c r="C3" s="159"/>
      <c r="D3" s="159"/>
      <c r="E3" s="159"/>
      <c r="F3" s="159"/>
      <c r="G3" s="159"/>
      <c r="H3" s="217"/>
      <c r="I3" s="217"/>
      <c r="J3" s="217"/>
      <c r="K3" s="217"/>
      <c r="L3" s="217"/>
      <c r="M3" s="400" t="s">
        <v>781</v>
      </c>
      <c r="N3" s="217"/>
      <c r="O3" s="217"/>
      <c r="P3" s="217"/>
      <c r="Q3" s="217"/>
      <c r="R3" s="217"/>
      <c r="S3" s="2012" t="s">
        <v>345</v>
      </c>
      <c r="T3" s="2012"/>
      <c r="U3" s="217"/>
    </row>
    <row r="4" spans="1:21" s="218" customFormat="1" ht="24" customHeight="1" thickBot="1">
      <c r="A4" s="158"/>
      <c r="B4" s="401" t="s">
        <v>328</v>
      </c>
      <c r="C4" s="394" t="s">
        <v>329</v>
      </c>
      <c r="D4" s="393" t="s">
        <v>330</v>
      </c>
      <c r="E4" s="393" t="s">
        <v>331</v>
      </c>
      <c r="F4" s="402" t="s">
        <v>332</v>
      </c>
      <c r="G4" s="158"/>
      <c r="H4" s="217"/>
      <c r="I4" s="403" t="s">
        <v>344</v>
      </c>
      <c r="J4" s="403" t="s">
        <v>273</v>
      </c>
      <c r="K4" s="404" t="s">
        <v>834</v>
      </c>
      <c r="L4" s="404" t="s">
        <v>835</v>
      </c>
      <c r="M4" s="405" t="s">
        <v>836</v>
      </c>
      <c r="N4" s="219"/>
      <c r="O4" s="219"/>
      <c r="P4" s="406" t="s">
        <v>347</v>
      </c>
      <c r="Q4" s="407" t="s">
        <v>348</v>
      </c>
      <c r="R4" s="404" t="s">
        <v>72</v>
      </c>
      <c r="S4" s="404" t="s">
        <v>349</v>
      </c>
      <c r="T4" s="405" t="s">
        <v>865</v>
      </c>
      <c r="U4" s="217"/>
    </row>
    <row r="5" spans="1:21" s="218" customFormat="1" ht="24" customHeight="1">
      <c r="A5" s="158"/>
      <c r="B5" s="1544" t="s">
        <v>1224</v>
      </c>
      <c r="C5" s="583">
        <f>機能別!V9</f>
        <v>2940</v>
      </c>
      <c r="D5" s="584">
        <f>D11+CHOOSE((約款料金!B11),C11,0,0)</f>
        <v>676.2</v>
      </c>
      <c r="E5" s="584">
        <f>E11+CHOOSE((約款料金!B11),0,C11,0)</f>
        <v>1793.4</v>
      </c>
      <c r="F5" s="585">
        <f>F11+CHOOSE((約款料金!B11),0,0,C11)</f>
        <v>470.4</v>
      </c>
      <c r="G5" s="158"/>
      <c r="H5" s="217"/>
      <c r="I5" s="408" t="s">
        <v>837</v>
      </c>
      <c r="J5" s="593">
        <f>機能別!W6</f>
        <v>9209893</v>
      </c>
      <c r="K5" s="594">
        <f>K23+CHOOSE((約款料金!B11),J23,0,0)</f>
        <v>460495</v>
      </c>
      <c r="L5" s="594">
        <f>L23+CHOOSE((約款料金!B11),0,J23,0)</f>
        <v>5249639</v>
      </c>
      <c r="M5" s="595">
        <f>M23+CHOOSE((約款料金!B11),0,0,J23)</f>
        <v>3499759</v>
      </c>
      <c r="N5" s="219"/>
      <c r="O5" s="219"/>
      <c r="P5" s="409" t="s">
        <v>330</v>
      </c>
      <c r="Q5" s="617">
        <f>ROUNDDOWN(約款料金!B13*D5,3)</f>
        <v>676200</v>
      </c>
      <c r="R5" s="618">
        <f>ROUNDDOWN(約款料金!B14*D7,3)</f>
        <v>939741.6</v>
      </c>
      <c r="S5" s="619">
        <f>ROUNDDOWN(Q5+R5,0)</f>
        <v>1615941</v>
      </c>
      <c r="T5" s="620">
        <f>S5/K16*100</f>
        <v>50.944220662103589</v>
      </c>
      <c r="U5" s="217"/>
    </row>
    <row r="6" spans="1:21" s="218" customFormat="1" ht="24" customHeight="1">
      <c r="A6" s="158"/>
      <c r="B6" s="410" t="s">
        <v>838</v>
      </c>
      <c r="C6" s="586">
        <f>SUM(D6:F6)</f>
        <v>100</v>
      </c>
      <c r="D6" s="586">
        <f>約款料金!B5</f>
        <v>23</v>
      </c>
      <c r="E6" s="586">
        <f>約款料金!C5</f>
        <v>61</v>
      </c>
      <c r="F6" s="587">
        <f>約款料金!D5</f>
        <v>16</v>
      </c>
      <c r="G6" s="158"/>
      <c r="H6" s="217"/>
      <c r="I6" s="411" t="s">
        <v>839</v>
      </c>
      <c r="J6" s="596">
        <v>100</v>
      </c>
      <c r="K6" s="597">
        <f>約款料金!B6</f>
        <v>5</v>
      </c>
      <c r="L6" s="597">
        <f>約款料金!C6</f>
        <v>57</v>
      </c>
      <c r="M6" s="598">
        <f>約款料金!D6</f>
        <v>38</v>
      </c>
      <c r="N6" s="219"/>
      <c r="O6" s="219"/>
      <c r="P6" s="412" t="s">
        <v>331</v>
      </c>
      <c r="Q6" s="621">
        <f>ROUNDDOWN(約款料金!C13*E5,3)</f>
        <v>2365853.2799999998</v>
      </c>
      <c r="R6" s="622">
        <f>ROUNDDOWN(約款料金!C14*E7,3)</f>
        <v>9837130.3379999995</v>
      </c>
      <c r="S6" s="623">
        <f>ROUNDDOWN(Q6+R6,0)</f>
        <v>12202983</v>
      </c>
      <c r="T6" s="624">
        <f>S6/L16*100</f>
        <v>92.745981831551376</v>
      </c>
      <c r="U6" s="217"/>
    </row>
    <row r="7" spans="1:21" s="218" customFormat="1" ht="24" customHeight="1">
      <c r="A7" s="158"/>
      <c r="B7" s="1543" t="s">
        <v>1223</v>
      </c>
      <c r="C7" s="588">
        <f>機能別!V6</f>
        <v>38514</v>
      </c>
      <c r="D7" s="589">
        <f>D12+CHOOSE((約款料金!B11)+1,0,C12,0,0)</f>
        <v>1925.7</v>
      </c>
      <c r="E7" s="589">
        <f>E12+CHOOSE((約款料金!B11)+1,0,0,C12,0)</f>
        <v>21952.98</v>
      </c>
      <c r="F7" s="590">
        <f>F12+CHOOSE((約款料金!B11)+1,0,0,0,C12)</f>
        <v>14635.32</v>
      </c>
      <c r="G7" s="158"/>
      <c r="H7" s="217"/>
      <c r="I7" s="413" t="s">
        <v>346</v>
      </c>
      <c r="J7" s="599">
        <f>機能別!W7</f>
        <v>2085887</v>
      </c>
      <c r="K7" s="600">
        <f>K20+CHOOSE((約款料金!B11),J20,0,0)</f>
        <v>20859</v>
      </c>
      <c r="L7" s="600">
        <f>L20+CHOOSE((約款料金!B11),0,J20,0)</f>
        <v>771778</v>
      </c>
      <c r="M7" s="601">
        <f>M20+CHOOSE((約款料金!B11),0,0,J20)</f>
        <v>1293250</v>
      </c>
      <c r="N7" s="219"/>
      <c r="O7" s="219"/>
      <c r="P7" s="412" t="s">
        <v>332</v>
      </c>
      <c r="Q7" s="621">
        <f>ROUNDDOWN(約款料金!D13*F5,3)</f>
        <v>1183620.48</v>
      </c>
      <c r="R7" s="622">
        <f>ROUNDDOWN(約款料金!D14*F7,3)</f>
        <v>5974137.6239999998</v>
      </c>
      <c r="S7" s="623">
        <f>ROUNDDOWN(Q7+R7,0)</f>
        <v>7157758</v>
      </c>
      <c r="T7" s="894">
        <f>IF(Q7=0,"",S7/M16*100)</f>
        <v>107.39726282265094</v>
      </c>
      <c r="U7" s="219"/>
    </row>
    <row r="8" spans="1:21" s="218" customFormat="1" ht="24" customHeight="1" thickBot="1">
      <c r="A8" s="158"/>
      <c r="B8" s="414" t="s">
        <v>840</v>
      </c>
      <c r="C8" s="591">
        <f>SUM(D8:F8)</f>
        <v>100</v>
      </c>
      <c r="D8" s="591">
        <f>約款料金!B6</f>
        <v>5</v>
      </c>
      <c r="E8" s="591">
        <f>約款料金!C6</f>
        <v>57</v>
      </c>
      <c r="F8" s="592">
        <f>約款料金!D6</f>
        <v>38</v>
      </c>
      <c r="G8" s="158"/>
      <c r="H8" s="217"/>
      <c r="I8" s="415" t="s">
        <v>848</v>
      </c>
      <c r="J8" s="596">
        <v>100</v>
      </c>
      <c r="K8" s="597">
        <f>約款料金!B7</f>
        <v>1</v>
      </c>
      <c r="L8" s="597">
        <f>約款料金!C7</f>
        <v>37</v>
      </c>
      <c r="M8" s="598">
        <f>約款料金!D7</f>
        <v>62</v>
      </c>
      <c r="N8" s="219"/>
      <c r="O8" s="219"/>
      <c r="P8" s="412" t="s">
        <v>351</v>
      </c>
      <c r="Q8" s="599">
        <f>ROUND(SUM(Q5:Q7),0)</f>
        <v>4225674</v>
      </c>
      <c r="R8" s="623">
        <f>ROUND(SUM(R5:R7),0)</f>
        <v>16751010</v>
      </c>
      <c r="S8" s="623">
        <f>ROUNDDOWN(Q8+R8,0)</f>
        <v>20976684</v>
      </c>
      <c r="T8" s="624">
        <f>S8/J16*100</f>
        <v>91.226157256050499</v>
      </c>
      <c r="U8" s="219"/>
    </row>
    <row r="9" spans="1:21" ht="24" customHeight="1">
      <c r="A9" s="165"/>
      <c r="B9" s="165"/>
      <c r="C9" s="165"/>
      <c r="D9" s="165"/>
      <c r="E9" s="165"/>
      <c r="F9" s="165"/>
      <c r="G9" s="165"/>
      <c r="H9" s="399"/>
      <c r="I9" s="417" t="s">
        <v>350</v>
      </c>
      <c r="J9" s="602">
        <f>機能別!W8</f>
        <v>6397387</v>
      </c>
      <c r="K9" s="603">
        <f>K21+CHOOSE((約款料金!B11),J21,0,0)</f>
        <v>1471399</v>
      </c>
      <c r="L9" s="603">
        <f>L21+CHOOSE((約款料金!B11),0,J21,0)</f>
        <v>3902406</v>
      </c>
      <c r="M9" s="604">
        <f>M21+CHOOSE((約款料金!B11),0,0,J21)</f>
        <v>1023582</v>
      </c>
      <c r="N9" s="418"/>
      <c r="O9" s="418"/>
      <c r="P9" s="419" t="s">
        <v>352</v>
      </c>
      <c r="Q9" s="602">
        <f>J11</f>
        <v>5300987.6349999998</v>
      </c>
      <c r="R9" s="608">
        <f>J5+J7+J9</f>
        <v>17693167</v>
      </c>
      <c r="S9" s="608">
        <f>Q9+R9</f>
        <v>22994154.634999998</v>
      </c>
      <c r="T9" s="625">
        <f>S9:S9/J13*100</f>
        <v>100</v>
      </c>
      <c r="U9" s="418"/>
    </row>
    <row r="10" spans="1:21" ht="24" customHeight="1">
      <c r="A10" s="165"/>
      <c r="B10" s="156" t="s">
        <v>335</v>
      </c>
      <c r="C10" s="749" t="s">
        <v>336</v>
      </c>
      <c r="D10" s="156"/>
      <c r="E10" s="156"/>
      <c r="F10" s="156"/>
      <c r="G10" s="156"/>
      <c r="H10" s="399"/>
      <c r="I10" s="421" t="s">
        <v>841</v>
      </c>
      <c r="J10" s="605">
        <v>100</v>
      </c>
      <c r="K10" s="606">
        <f>約款料金!B8</f>
        <v>23</v>
      </c>
      <c r="L10" s="606">
        <f>約款料金!C8</f>
        <v>61</v>
      </c>
      <c r="M10" s="607">
        <f>約款料金!D8</f>
        <v>16</v>
      </c>
      <c r="N10" s="418"/>
      <c r="O10" s="418"/>
      <c r="P10" s="419" t="s">
        <v>353</v>
      </c>
      <c r="Q10" s="602">
        <f>Q8-Q9</f>
        <v>-1075313.6349999998</v>
      </c>
      <c r="R10" s="608">
        <f>R8-R9</f>
        <v>-942157</v>
      </c>
      <c r="S10" s="608">
        <f>S8-S9</f>
        <v>-2017470.6349999979</v>
      </c>
      <c r="T10" s="609"/>
      <c r="U10" s="418"/>
    </row>
    <row r="11" spans="1:21" ht="24" customHeight="1" thickBot="1">
      <c r="A11" s="165"/>
      <c r="B11" s="156" t="s">
        <v>337</v>
      </c>
      <c r="C11" s="740">
        <f>C5-SUM(D11:F11)</f>
        <v>0</v>
      </c>
      <c r="D11" s="741">
        <f>ROUND($C5*D6/100,2)</f>
        <v>676.2</v>
      </c>
      <c r="E11" s="741">
        <f>ROUND($C5*E6/100,2)</f>
        <v>1793.4</v>
      </c>
      <c r="F11" s="741">
        <f>ROUND($C5*F6/100,2)</f>
        <v>470.4</v>
      </c>
      <c r="G11" s="156"/>
      <c r="H11" s="399"/>
      <c r="I11" s="417" t="s">
        <v>842</v>
      </c>
      <c r="J11" s="602">
        <f>機能別!W9</f>
        <v>5300987.6349999998</v>
      </c>
      <c r="K11" s="608">
        <f>K22+CHOOSE((約款料金!B11),J22,0,0)</f>
        <v>1219227.6349999998</v>
      </c>
      <c r="L11" s="608">
        <f>L22+CHOOSE((約款料金!B11),0,J22,0)</f>
        <v>3233602</v>
      </c>
      <c r="M11" s="609">
        <f>M22+CHOOSE((約款料金!B11),0,0,J22)</f>
        <v>848158</v>
      </c>
      <c r="N11" s="418"/>
      <c r="O11" s="418"/>
      <c r="P11" s="422" t="s">
        <v>706</v>
      </c>
      <c r="Q11" s="626">
        <f>Q8/Q9*100</f>
        <v>79.714843552922204</v>
      </c>
      <c r="R11" s="627">
        <f>R8/R9*100</f>
        <v>94.67502341440624</v>
      </c>
      <c r="S11" s="627">
        <f>S8/S9*100</f>
        <v>91.226158704137987</v>
      </c>
      <c r="T11" s="616"/>
      <c r="U11" s="418"/>
    </row>
    <row r="12" spans="1:21" ht="24" customHeight="1">
      <c r="A12" s="165"/>
      <c r="B12" s="156" t="s">
        <v>339</v>
      </c>
      <c r="C12" s="742">
        <f>C7-SUM(D12:F12)</f>
        <v>0</v>
      </c>
      <c r="D12" s="743">
        <f>ROUND($C7*D8/100,2)</f>
        <v>1925.7</v>
      </c>
      <c r="E12" s="743">
        <f>ROUND($C7*E8/100,2)</f>
        <v>21952.98</v>
      </c>
      <c r="F12" s="743">
        <f>ROUND($C7*F8/100,2)</f>
        <v>14635.32</v>
      </c>
      <c r="G12" s="156"/>
      <c r="H12" s="399"/>
      <c r="I12" s="1545" t="s">
        <v>1225</v>
      </c>
      <c r="J12" s="605">
        <v>100</v>
      </c>
      <c r="K12" s="606">
        <f>約款料金!B5</f>
        <v>23</v>
      </c>
      <c r="L12" s="606">
        <f>約款料金!C5</f>
        <v>61</v>
      </c>
      <c r="M12" s="607">
        <f>約款料金!D5</f>
        <v>16</v>
      </c>
      <c r="N12" s="418"/>
      <c r="O12" s="418"/>
      <c r="P12" s="485"/>
      <c r="Q12" s="485"/>
      <c r="R12" s="485"/>
      <c r="S12" s="485"/>
      <c r="T12" s="485"/>
      <c r="U12" s="418"/>
    </row>
    <row r="13" spans="1:21" ht="24" customHeight="1">
      <c r="A13" s="165"/>
      <c r="B13" s="156"/>
      <c r="C13" s="156"/>
      <c r="D13" s="156"/>
      <c r="E13" s="156"/>
      <c r="F13" s="156"/>
      <c r="G13" s="156"/>
      <c r="H13" s="399"/>
      <c r="I13" s="417" t="s">
        <v>843</v>
      </c>
      <c r="J13" s="602">
        <f>SUM(J5,J7,J9,J11)</f>
        <v>22994154.634999998</v>
      </c>
      <c r="K13" s="608">
        <f>SUM(K5,K7,K9,K11)</f>
        <v>3171980.6349999998</v>
      </c>
      <c r="L13" s="608">
        <f>SUM(L5,L7,L9,L11)</f>
        <v>13157425</v>
      </c>
      <c r="M13" s="609">
        <f>SUM(M5,M7,M9,M11)</f>
        <v>6664749</v>
      </c>
      <c r="N13" s="418"/>
      <c r="O13" s="418"/>
      <c r="P13" s="485"/>
      <c r="Q13" s="485" t="s">
        <v>355</v>
      </c>
      <c r="R13" s="485"/>
      <c r="S13" s="485"/>
      <c r="T13" s="485"/>
      <c r="U13" s="418"/>
    </row>
    <row r="14" spans="1:21" ht="24" customHeight="1">
      <c r="A14" s="165"/>
      <c r="B14" s="156"/>
      <c r="C14" s="156"/>
      <c r="D14" s="156"/>
      <c r="E14" s="156"/>
      <c r="F14" s="156"/>
      <c r="G14" s="156"/>
      <c r="H14" s="399"/>
      <c r="I14" s="417" t="s">
        <v>844</v>
      </c>
      <c r="J14" s="610">
        <f>J11/C5</f>
        <v>1803.0570187074829</v>
      </c>
      <c r="K14" s="611">
        <f>K11/D5</f>
        <v>1803.0577270038445</v>
      </c>
      <c r="L14" s="611">
        <f>IF(L11&gt;0,L11/E5,0)</f>
        <v>1803.0567636890821</v>
      </c>
      <c r="M14" s="612">
        <f>IF(M11&gt;0,M11/F5,0)</f>
        <v>1803.0569727891157</v>
      </c>
      <c r="N14" s="418"/>
      <c r="O14" s="418"/>
      <c r="P14" s="485"/>
      <c r="Q14" s="485"/>
      <c r="R14" s="748" t="s">
        <v>356</v>
      </c>
      <c r="S14" s="748" t="s">
        <v>357</v>
      </c>
      <c r="T14" s="485"/>
      <c r="U14" s="418"/>
    </row>
    <row r="15" spans="1:21" ht="24" customHeight="1">
      <c r="A15" s="165"/>
      <c r="B15" s="156"/>
      <c r="C15" s="156"/>
      <c r="D15" s="156"/>
      <c r="E15" s="156"/>
      <c r="F15" s="156"/>
      <c r="G15" s="156"/>
      <c r="H15" s="399"/>
      <c r="I15" s="417" t="s">
        <v>845</v>
      </c>
      <c r="J15" s="610">
        <f>(J5+J7+J9)/C7</f>
        <v>459.39572622942308</v>
      </c>
      <c r="K15" s="611">
        <f>(K5+K7+K9)/D7</f>
        <v>1014.0483979851482</v>
      </c>
      <c r="L15" s="611">
        <f>IF((L5+L7+L9)&gt;0,(L5+L7+L9)/E7,0)</f>
        <v>452.04901566894335</v>
      </c>
      <c r="M15" s="612">
        <f>IF((M5+M7+M9)&gt;0,(M5+M7+M9)/F7,0)</f>
        <v>397.43517736544197</v>
      </c>
      <c r="N15" s="418"/>
      <c r="O15" s="418"/>
      <c r="P15" s="399"/>
      <c r="Q15" s="399" t="s">
        <v>358</v>
      </c>
      <c r="R15" s="699">
        <f>約款料金!C13+約款料金!C9*約款料金!C14</f>
        <v>14762.2</v>
      </c>
      <c r="S15" s="699">
        <f>R15*F5</f>
        <v>6944138.8799999999</v>
      </c>
      <c r="T15" s="399" t="s">
        <v>1080</v>
      </c>
      <c r="U15" s="416"/>
    </row>
    <row r="16" spans="1:21" ht="24" customHeight="1">
      <c r="A16" s="156"/>
      <c r="B16" s="156"/>
      <c r="C16" s="156"/>
      <c r="D16" s="156"/>
      <c r="E16" s="156"/>
      <c r="F16" s="156"/>
      <c r="G16" s="156"/>
      <c r="H16" s="399"/>
      <c r="I16" s="417" t="s">
        <v>846</v>
      </c>
      <c r="J16" s="602">
        <f>SUM(K16:M16)</f>
        <v>22994155</v>
      </c>
      <c r="K16" s="608">
        <f>ROUND((K14*D5)+(K15*D7),0)</f>
        <v>3171981</v>
      </c>
      <c r="L16" s="608">
        <f>ROUND((L14*E5)+(L15*E7),0)</f>
        <v>13157425</v>
      </c>
      <c r="M16" s="609">
        <f>ROUND((M14*F5)+(M15*F7),0)</f>
        <v>6664749</v>
      </c>
      <c r="N16" s="418"/>
      <c r="O16" s="418">
        <v>72731578</v>
      </c>
      <c r="P16" s="694"/>
      <c r="Q16" s="399" t="s">
        <v>956</v>
      </c>
      <c r="R16" s="698" t="s">
        <v>1079</v>
      </c>
      <c r="S16" s="697">
        <f>S5+S6+S15</f>
        <v>20763062.879999999</v>
      </c>
      <c r="T16" s="399" t="s">
        <v>1081</v>
      </c>
      <c r="U16" s="416"/>
    </row>
    <row r="17" spans="1:21" ht="24" customHeight="1" thickBot="1">
      <c r="A17" s="398"/>
      <c r="B17" s="398"/>
      <c r="C17" s="398"/>
      <c r="D17" s="398"/>
      <c r="E17" s="398"/>
      <c r="F17" s="398"/>
      <c r="G17" s="398"/>
      <c r="H17" s="399"/>
      <c r="I17" s="423" t="s">
        <v>847</v>
      </c>
      <c r="J17" s="613">
        <f>J16-J13</f>
        <v>0.36500000208616257</v>
      </c>
      <c r="K17" s="614">
        <f>K16-K13</f>
        <v>0.36500000022351742</v>
      </c>
      <c r="L17" s="615">
        <f>L16-L13</f>
        <v>0</v>
      </c>
      <c r="M17" s="616">
        <f>M16-M13</f>
        <v>0</v>
      </c>
      <c r="N17" s="418"/>
      <c r="O17" s="418">
        <v>68263126</v>
      </c>
      <c r="P17" s="694"/>
      <c r="Q17" s="399" t="s">
        <v>957</v>
      </c>
      <c r="R17" s="694"/>
      <c r="S17" s="699">
        <f>F7-(約款料金!C9*F5)</f>
        <v>523.31999999999971</v>
      </c>
      <c r="T17" s="399" t="s">
        <v>1068</v>
      </c>
      <c r="U17" s="416"/>
    </row>
    <row r="18" spans="1:21" ht="24" customHeight="1">
      <c r="A18" s="398"/>
      <c r="B18" s="398"/>
      <c r="C18" s="398"/>
      <c r="D18" s="398"/>
      <c r="E18" s="398"/>
      <c r="F18" s="398"/>
      <c r="G18" s="398"/>
      <c r="H18" s="399"/>
      <c r="I18" s="485"/>
      <c r="J18" s="485"/>
      <c r="K18" s="485"/>
      <c r="L18" s="485"/>
      <c r="M18" s="485"/>
      <c r="N18" s="399"/>
      <c r="O18" s="416">
        <f>O16-O17</f>
        <v>4468452</v>
      </c>
      <c r="P18" s="694"/>
      <c r="Q18" s="694"/>
      <c r="R18" s="694"/>
      <c r="S18" s="399"/>
      <c r="T18" s="399"/>
      <c r="U18" s="416"/>
    </row>
    <row r="19" spans="1:21" ht="24" customHeight="1">
      <c r="H19" s="399"/>
      <c r="I19" s="399" t="s">
        <v>335</v>
      </c>
      <c r="J19" s="747" t="s">
        <v>336</v>
      </c>
      <c r="K19" s="747" t="s">
        <v>123</v>
      </c>
      <c r="L19" s="747" t="s">
        <v>124</v>
      </c>
      <c r="M19" s="747" t="s">
        <v>125</v>
      </c>
      <c r="N19" s="399"/>
      <c r="O19" s="416">
        <f>O18/S17</f>
        <v>8538.6608576014714</v>
      </c>
      <c r="P19" s="694"/>
      <c r="Q19" s="399" t="s">
        <v>959</v>
      </c>
      <c r="R19" s="399">
        <f>IF(S17&gt;0,(J13-S16)/S17,0)</f>
        <v>4263.3412730260643</v>
      </c>
      <c r="S19" s="399" t="s">
        <v>1069</v>
      </c>
      <c r="T19" s="399"/>
      <c r="U19" s="416"/>
    </row>
    <row r="20" spans="1:21" ht="24" customHeight="1">
      <c r="H20" s="399"/>
      <c r="I20" s="399" t="s">
        <v>359</v>
      </c>
      <c r="J20" s="399">
        <f>J7-SUM(K20:M20)</f>
        <v>0</v>
      </c>
      <c r="K20" s="399">
        <f>ROUND($J7*約款料金!B7/100,0)</f>
        <v>20859</v>
      </c>
      <c r="L20" s="399">
        <f>ROUND($J7*約款料金!C7/100,0)</f>
        <v>771778</v>
      </c>
      <c r="M20" s="399">
        <f>ROUND($J7*約款料金!D7/100,0)</f>
        <v>1293250</v>
      </c>
      <c r="N20" s="399"/>
      <c r="O20" s="416"/>
      <c r="P20" s="2013"/>
      <c r="Q20" s="399" t="s">
        <v>958</v>
      </c>
      <c r="R20" s="399">
        <f>ROUNDDOWN(R15-(約款料金!C9*R19),2)</f>
        <v>-113138.03</v>
      </c>
      <c r="S20" s="399" t="s">
        <v>1082</v>
      </c>
      <c r="T20" s="399"/>
      <c r="U20" s="416"/>
    </row>
    <row r="21" spans="1:21" ht="24" customHeight="1">
      <c r="H21" s="399"/>
      <c r="I21" s="399" t="s">
        <v>360</v>
      </c>
      <c r="J21" s="399">
        <f>J9-SUM(K21:M21)</f>
        <v>0</v>
      </c>
      <c r="K21" s="399">
        <f>ROUND($J9*約款料金!B8/100,0)</f>
        <v>1471399</v>
      </c>
      <c r="L21" s="399">
        <f>ROUND($J9*約款料金!C8/100,0)</f>
        <v>3902406</v>
      </c>
      <c r="M21" s="399">
        <f>ROUND($J9*約款料金!D8/100,0)</f>
        <v>1023582</v>
      </c>
      <c r="N21" s="399"/>
      <c r="O21" s="416"/>
      <c r="P21" s="2014"/>
      <c r="Q21" s="695"/>
      <c r="R21" s="696"/>
      <c r="S21" s="399"/>
      <c r="T21" s="399"/>
      <c r="U21" s="416"/>
    </row>
    <row r="22" spans="1:21" ht="24" customHeight="1">
      <c r="H22" s="399"/>
      <c r="I22" s="399" t="s">
        <v>361</v>
      </c>
      <c r="J22" s="399">
        <f>J11-SUM(K22:M22)</f>
        <v>0.63499999977648258</v>
      </c>
      <c r="K22" s="399">
        <f>ROUND($J11*約款料金!B5/100,0)</f>
        <v>1219227</v>
      </c>
      <c r="L22" s="399">
        <f>ROUND($J11*約款料金!C5/100,0)</f>
        <v>3233602</v>
      </c>
      <c r="M22" s="399">
        <f>ROUND($J11*約款料金!D5/100,0)</f>
        <v>848158</v>
      </c>
      <c r="N22" s="399"/>
      <c r="O22" s="416"/>
      <c r="P22" s="2014"/>
      <c r="Q22" s="2015"/>
      <c r="R22" s="696"/>
      <c r="S22" s="399"/>
      <c r="T22" s="399"/>
      <c r="U22" s="416"/>
    </row>
    <row r="23" spans="1:21" ht="24" customHeight="1">
      <c r="H23" s="399"/>
      <c r="I23" s="399" t="s">
        <v>362</v>
      </c>
      <c r="J23" s="399">
        <f>J5-SUM(K23:M23)</f>
        <v>0</v>
      </c>
      <c r="K23" s="399">
        <f>ROUND($J5*約款料金!B6/100,0)</f>
        <v>460495</v>
      </c>
      <c r="L23" s="399">
        <f>ROUND($J5*約款料金!C6/100,0)</f>
        <v>5249639</v>
      </c>
      <c r="M23" s="399">
        <f>ROUND($J5*約款料金!D6/100,0)</f>
        <v>3499759</v>
      </c>
      <c r="N23" s="399"/>
      <c r="O23" s="416"/>
      <c r="P23" s="2014"/>
      <c r="Q23" s="2015"/>
      <c r="R23" s="696"/>
      <c r="S23" s="399"/>
      <c r="T23" s="399"/>
      <c r="U23" s="416"/>
    </row>
    <row r="24" spans="1:21" ht="24" customHeight="1">
      <c r="H24" s="399"/>
      <c r="I24" s="399"/>
      <c r="J24" s="399"/>
      <c r="K24" s="399"/>
      <c r="L24" s="399"/>
      <c r="M24" s="399"/>
      <c r="N24" s="399"/>
      <c r="O24" s="416"/>
      <c r="P24" s="2010"/>
      <c r="Q24" s="2010"/>
      <c r="R24" s="2010"/>
      <c r="S24" s="416"/>
      <c r="T24" s="416"/>
      <c r="U24" s="416"/>
    </row>
    <row r="25" spans="1:21" ht="24" customHeight="1">
      <c r="H25" s="399"/>
      <c r="I25" s="399"/>
      <c r="J25" s="399"/>
      <c r="K25" s="399"/>
      <c r="L25" s="399"/>
      <c r="M25" s="399"/>
      <c r="N25" s="399"/>
      <c r="O25" s="416"/>
      <c r="P25" s="2010"/>
      <c r="Q25" s="2010"/>
      <c r="R25" s="2010"/>
      <c r="S25" s="416"/>
      <c r="T25" s="416"/>
      <c r="U25" s="416"/>
    </row>
    <row r="26" spans="1:21" ht="24" customHeight="1">
      <c r="H26" s="399"/>
      <c r="I26" s="398"/>
      <c r="J26" s="398"/>
      <c r="K26" s="398"/>
      <c r="L26" s="398"/>
      <c r="M26" s="398"/>
      <c r="N26" s="399"/>
      <c r="O26" s="416"/>
      <c r="P26" s="2010"/>
      <c r="Q26" s="2010"/>
      <c r="R26" s="2010"/>
      <c r="S26" s="416"/>
      <c r="T26" s="416"/>
      <c r="U26" s="416"/>
    </row>
    <row r="27" spans="1:21" ht="24" customHeight="1">
      <c r="H27" s="416"/>
      <c r="I27" s="2011" t="s">
        <v>779</v>
      </c>
      <c r="J27" s="2011"/>
      <c r="K27" s="2011"/>
      <c r="L27" s="2011"/>
      <c r="M27" s="2011"/>
      <c r="N27" s="416"/>
      <c r="O27" s="416"/>
      <c r="P27" s="2018"/>
      <c r="Q27" s="2018"/>
      <c r="R27" s="2018"/>
      <c r="S27" s="2018"/>
      <c r="T27" s="2018"/>
      <c r="U27" s="416"/>
    </row>
    <row r="28" spans="1:21" ht="24" customHeight="1" thickBot="1">
      <c r="H28" s="416"/>
      <c r="I28" s="416"/>
      <c r="J28" s="416"/>
      <c r="K28" s="416"/>
      <c r="L28" s="416"/>
      <c r="M28" s="424" t="s">
        <v>363</v>
      </c>
      <c r="N28" s="416"/>
      <c r="O28" s="416"/>
      <c r="P28" s="508"/>
      <c r="Q28" s="508"/>
      <c r="R28" s="508"/>
      <c r="S28" s="509"/>
      <c r="T28" s="510"/>
      <c r="U28" s="416"/>
    </row>
    <row r="29" spans="1:21" ht="24" customHeight="1" thickBot="1">
      <c r="H29" s="416"/>
      <c r="I29" s="425" t="s">
        <v>347</v>
      </c>
      <c r="J29" s="2019" t="s">
        <v>705</v>
      </c>
      <c r="K29" s="2020"/>
      <c r="L29" s="426" t="s">
        <v>348</v>
      </c>
      <c r="M29" s="427" t="s">
        <v>354</v>
      </c>
      <c r="N29" s="744" t="s">
        <v>1073</v>
      </c>
      <c r="O29" s="744" t="s">
        <v>1074</v>
      </c>
      <c r="P29" s="511"/>
      <c r="Q29" s="511"/>
      <c r="R29" s="2021"/>
      <c r="S29" s="2021"/>
      <c r="T29" s="512"/>
      <c r="U29" s="416"/>
    </row>
    <row r="30" spans="1:21" ht="24" customHeight="1">
      <c r="H30" s="416"/>
      <c r="I30" s="428" t="s">
        <v>364</v>
      </c>
      <c r="J30" s="713" t="s">
        <v>1033</v>
      </c>
      <c r="K30" s="714">
        <f>約款料金!B9</f>
        <v>8</v>
      </c>
      <c r="L30" s="628">
        <f>約款料金!B13</f>
        <v>1000</v>
      </c>
      <c r="M30" s="629">
        <f>約款料金!B14</f>
        <v>488</v>
      </c>
      <c r="N30" s="968">
        <f>約款料金!B16</f>
        <v>1100</v>
      </c>
      <c r="O30" s="968">
        <f>約款料金!B17</f>
        <v>536.79999999999995</v>
      </c>
      <c r="P30" s="511"/>
      <c r="Q30" s="513"/>
      <c r="R30" s="514"/>
      <c r="S30" s="515"/>
      <c r="T30" s="516"/>
      <c r="U30" s="416"/>
    </row>
    <row r="31" spans="1:21" ht="24" customHeight="1">
      <c r="H31" s="416"/>
      <c r="I31" s="429" t="s">
        <v>365</v>
      </c>
      <c r="J31" s="715">
        <f>約款料金!B9</f>
        <v>8</v>
      </c>
      <c r="K31" s="716">
        <f>IF(約款料金!C9="","るもの",約款料金!C9)</f>
        <v>30</v>
      </c>
      <c r="L31" s="630">
        <f>約款料金!C13</f>
        <v>1319.2</v>
      </c>
      <c r="M31" s="631">
        <f>約款料金!C14</f>
        <v>448.1</v>
      </c>
      <c r="N31" s="968">
        <f>約款料金!C16</f>
        <v>1451.12</v>
      </c>
      <c r="O31" s="968">
        <f>約款料金!C17</f>
        <v>492.91</v>
      </c>
      <c r="P31" s="511"/>
      <c r="Q31" s="513"/>
      <c r="R31" s="514"/>
      <c r="S31" s="515"/>
      <c r="T31" s="516"/>
      <c r="U31" s="416"/>
    </row>
    <row r="32" spans="1:21" ht="26.15" customHeight="1" thickBot="1">
      <c r="H32" s="416"/>
      <c r="I32" s="430" t="s">
        <v>366</v>
      </c>
      <c r="J32" s="2016">
        <f>IF(約款料金!C9="","－",約款料金!C9)</f>
        <v>30</v>
      </c>
      <c r="K32" s="2017"/>
      <c r="L32" s="717">
        <f>IF(約款料金!D13=約款料金!C13,"－      ",約款料金!D13)</f>
        <v>2516.1999999999998</v>
      </c>
      <c r="M32" s="718">
        <f>IF(約款料金!D14=約款料金!C14,"－      ",約款料金!D14)</f>
        <v>408.2</v>
      </c>
      <c r="N32" s="968">
        <f>約款料金!D16</f>
        <v>2767.82</v>
      </c>
      <c r="O32" s="968">
        <f>約款料金!D17</f>
        <v>449.02</v>
      </c>
      <c r="P32" s="511"/>
      <c r="Q32" s="513"/>
      <c r="R32" s="514"/>
      <c r="S32" s="515"/>
      <c r="T32" s="516"/>
      <c r="U32" s="416"/>
    </row>
    <row r="33" spans="8:21" ht="26.15" customHeight="1">
      <c r="H33" s="416"/>
      <c r="I33" s="418"/>
      <c r="J33" s="418"/>
      <c r="K33" s="418"/>
      <c r="L33" s="418"/>
      <c r="M33" s="418"/>
      <c r="N33" s="399"/>
      <c r="O33" s="399"/>
      <c r="P33" s="511"/>
      <c r="Q33" s="513"/>
      <c r="R33" s="514"/>
      <c r="S33" s="515"/>
      <c r="T33" s="516"/>
      <c r="U33" s="416"/>
    </row>
    <row r="34" spans="8:21" ht="26.15" customHeight="1">
      <c r="H34" s="416"/>
      <c r="I34" s="416"/>
      <c r="J34" s="416"/>
      <c r="K34" s="416"/>
      <c r="L34" s="416"/>
      <c r="M34" s="416"/>
      <c r="N34" s="416"/>
      <c r="O34" s="416"/>
      <c r="P34" s="517"/>
      <c r="Q34" s="513"/>
      <c r="R34" s="514"/>
      <c r="S34" s="515"/>
      <c r="T34" s="516"/>
    </row>
    <row r="35" spans="8:21" ht="26.15" customHeight="1">
      <c r="H35" s="416"/>
      <c r="I35" s="416"/>
      <c r="J35" s="416"/>
      <c r="K35" s="416"/>
      <c r="L35" s="416"/>
      <c r="M35" s="416"/>
      <c r="N35" s="416"/>
      <c r="O35" s="416"/>
      <c r="P35" s="511"/>
      <c r="Q35" s="513"/>
      <c r="R35" s="514"/>
      <c r="S35" s="515"/>
      <c r="T35" s="516"/>
    </row>
    <row r="36" spans="8:21" ht="26.15" customHeight="1">
      <c r="H36" s="416"/>
      <c r="I36" s="416"/>
      <c r="J36" s="418"/>
      <c r="K36" s="416"/>
      <c r="L36" s="416"/>
      <c r="M36" s="416"/>
      <c r="N36" s="416"/>
      <c r="O36" s="416"/>
      <c r="P36" s="511"/>
      <c r="Q36" s="513"/>
      <c r="R36" s="514"/>
      <c r="S36" s="515"/>
      <c r="T36" s="516"/>
    </row>
    <row r="37" spans="8:21" ht="26.15" customHeight="1">
      <c r="J37" s="418"/>
      <c r="K37" s="416"/>
      <c r="L37" s="416"/>
      <c r="M37" s="416"/>
      <c r="N37" s="416"/>
      <c r="O37" s="416"/>
      <c r="P37" s="511"/>
      <c r="Q37" s="513"/>
      <c r="R37" s="518"/>
      <c r="S37" s="518"/>
      <c r="T37" s="513"/>
    </row>
    <row r="38" spans="8:21" ht="26.15" customHeight="1">
      <c r="H38" s="418"/>
      <c r="I38" s="416"/>
      <c r="J38" s="416"/>
      <c r="K38" s="416"/>
      <c r="L38" s="416"/>
      <c r="M38" s="416"/>
      <c r="N38" s="416"/>
      <c r="P38" s="508"/>
      <c r="Q38" s="508"/>
      <c r="R38" s="508"/>
      <c r="S38" s="508"/>
      <c r="T38" s="508"/>
    </row>
    <row r="39" spans="8:21" ht="26.15" customHeight="1">
      <c r="H39" s="418"/>
      <c r="I39" s="416"/>
      <c r="J39" s="416"/>
      <c r="K39" s="416"/>
      <c r="L39" s="416"/>
      <c r="M39" s="416"/>
      <c r="N39" s="416"/>
    </row>
    <row r="40" spans="8:21" ht="26.15" customHeight="1">
      <c r="H40" s="418"/>
      <c r="I40" s="416"/>
      <c r="J40" s="416"/>
      <c r="K40" s="416"/>
      <c r="L40" s="416"/>
      <c r="M40" s="416"/>
      <c r="N40" s="416"/>
    </row>
    <row r="41" spans="8:21" ht="26.15" customHeight="1">
      <c r="H41" s="416"/>
      <c r="I41" s="416"/>
      <c r="J41" s="416"/>
      <c r="K41" s="416"/>
      <c r="L41" s="416"/>
      <c r="M41" s="416"/>
      <c r="N41" s="416"/>
    </row>
    <row r="42" spans="8:21" ht="26.15" customHeight="1">
      <c r="H42" s="416"/>
      <c r="I42" s="416"/>
      <c r="J42" s="416"/>
      <c r="K42" s="416"/>
      <c r="L42" s="416"/>
      <c r="M42" s="416"/>
      <c r="N42" s="416"/>
    </row>
    <row r="43" spans="8:21" ht="26.15" customHeight="1"/>
    <row r="44" spans="8:21" ht="26.15" customHeight="1">
      <c r="H44" s="431"/>
    </row>
    <row r="45" spans="8:21" ht="26.15" customHeight="1">
      <c r="H45" s="431"/>
    </row>
    <row r="46" spans="8:21" ht="26.15" customHeight="1">
      <c r="H46" s="431"/>
    </row>
    <row r="47" spans="8:21" ht="26.15" customHeight="1"/>
    <row r="48" spans="8:21" ht="26.15" customHeight="1"/>
    <row r="49" spans="8:8" ht="26.15" customHeight="1"/>
    <row r="50" spans="8:8" ht="26.15" customHeight="1">
      <c r="H50" s="431"/>
    </row>
    <row r="51" spans="8:8" ht="26.15" customHeight="1">
      <c r="H51" s="431"/>
    </row>
    <row r="52" spans="8:8" ht="26.15" customHeight="1">
      <c r="H52" s="431"/>
    </row>
  </sheetData>
  <mergeCells count="15">
    <mergeCell ref="P25:R25"/>
    <mergeCell ref="P26:R26"/>
    <mergeCell ref="J32:K32"/>
    <mergeCell ref="P27:T27"/>
    <mergeCell ref="J29:K29"/>
    <mergeCell ref="R29:S29"/>
    <mergeCell ref="I27:M27"/>
    <mergeCell ref="P24:R24"/>
    <mergeCell ref="B2:F2"/>
    <mergeCell ref="P2:T2"/>
    <mergeCell ref="I2:M2"/>
    <mergeCell ref="S3:T3"/>
    <mergeCell ref="P20:P21"/>
    <mergeCell ref="P22:P23"/>
    <mergeCell ref="Q22:Q23"/>
  </mergeCells>
  <phoneticPr fontId="2"/>
  <pageMargins left="0.61" right="0.21" top="1" bottom="0.78541666666666665" header="0.51200000000000001" footer="0.51200000000000001"/>
  <pageSetup paperSize="9" scale="96" fitToHeight="4" pageOrder="overThenDown" orientation="portrait" horizontalDpi="200" verticalDpi="20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2">
    <tabColor indexed="50"/>
    <pageSetUpPr autoPageBreaks="0" fitToPage="1"/>
  </sheetPr>
  <dimension ref="A1:N57"/>
  <sheetViews>
    <sheetView showGridLines="0" zoomScaleNormal="100" workbookViewId="0"/>
  </sheetViews>
  <sheetFormatPr defaultColWidth="10.83203125" defaultRowHeight="14"/>
  <cols>
    <col min="1" max="1" width="9.5" style="398" customWidth="1"/>
    <col min="2" max="2" width="19.08203125" style="398" customWidth="1"/>
    <col min="3" max="5" width="18.75" style="398" customWidth="1"/>
    <col min="6" max="6" width="13.58203125" style="398" customWidth="1"/>
    <col min="7" max="16384" width="10.83203125" style="398"/>
  </cols>
  <sheetData>
    <row r="1" spans="1:14" ht="24" customHeight="1">
      <c r="A1" s="399"/>
      <c r="G1" s="399"/>
      <c r="N1" s="398" t="s">
        <v>7</v>
      </c>
    </row>
    <row r="2" spans="1:14" ht="24" customHeight="1">
      <c r="A2" s="399"/>
      <c r="G2" s="399"/>
    </row>
    <row r="3" spans="1:14" ht="24" customHeight="1">
      <c r="A3" s="399"/>
      <c r="B3" s="2011"/>
      <c r="C3" s="2011"/>
      <c r="D3" s="2011"/>
      <c r="E3" s="2011"/>
      <c r="F3" s="2011"/>
      <c r="G3" s="399"/>
    </row>
    <row r="4" spans="1:14" ht="24" customHeight="1">
      <c r="A4" s="399"/>
      <c r="B4" s="2022" t="s">
        <v>996</v>
      </c>
      <c r="C4" s="2022"/>
      <c r="D4" s="2022"/>
      <c r="E4" s="2022"/>
      <c r="F4" s="2022"/>
      <c r="G4" s="399"/>
    </row>
    <row r="5" spans="1:14" ht="24" customHeight="1" thickBot="1">
      <c r="A5" s="485"/>
      <c r="B5" s="519"/>
      <c r="C5" s="519"/>
      <c r="D5" s="519"/>
      <c r="E5" s="520"/>
      <c r="F5" s="521" t="s">
        <v>363</v>
      </c>
      <c r="G5" s="399"/>
    </row>
    <row r="6" spans="1:14" ht="24" customHeight="1" thickBot="1">
      <c r="A6" s="485"/>
      <c r="B6" s="522" t="s">
        <v>794</v>
      </c>
      <c r="C6" s="523" t="s">
        <v>932</v>
      </c>
      <c r="D6" s="2023" t="s">
        <v>973</v>
      </c>
      <c r="E6" s="2024"/>
      <c r="F6" s="524" t="s">
        <v>933</v>
      </c>
      <c r="G6" s="399"/>
    </row>
    <row r="7" spans="1:14" ht="24" customHeight="1">
      <c r="A7" s="485"/>
      <c r="B7" s="525" t="s">
        <v>925</v>
      </c>
      <c r="C7" s="1363">
        <f>IF(説明書!N$71="混在",投資額!G22,"")</f>
        <v>2917950</v>
      </c>
      <c r="D7" s="661">
        <v>1</v>
      </c>
      <c r="E7" s="662">
        <f>係数!Z4</f>
        <v>0.03</v>
      </c>
      <c r="F7" s="663">
        <f>IF(C7="","",ROUND(C7*D7*E7,0))</f>
        <v>87539</v>
      </c>
      <c r="G7" s="399"/>
      <c r="H7" s="1260"/>
    </row>
    <row r="8" spans="1:14" ht="24" customHeight="1">
      <c r="A8" s="485"/>
      <c r="B8" s="526" t="s">
        <v>926</v>
      </c>
      <c r="C8" s="1364">
        <f>IF(説明書!N$71="混在",投資額!G24,"")</f>
        <v>1232350</v>
      </c>
      <c r="D8" s="664">
        <v>1</v>
      </c>
      <c r="E8" s="665">
        <f>係数!Z5</f>
        <v>0.1</v>
      </c>
      <c r="F8" s="666">
        <f t="shared" ref="F8:F14" si="0">IF(C8="","",ROUND(C8*D8*E8,0))</f>
        <v>123235</v>
      </c>
      <c r="G8" s="485"/>
      <c r="H8" s="1260"/>
    </row>
    <row r="9" spans="1:14" ht="24" customHeight="1">
      <c r="A9" s="485"/>
      <c r="B9" s="1408" t="s">
        <v>540</v>
      </c>
      <c r="C9" s="1364">
        <f>IF(説明書!N$71="混在",投資額!G25,"")</f>
        <v>5091100</v>
      </c>
      <c r="D9" s="664">
        <v>1</v>
      </c>
      <c r="E9" s="665">
        <f>係数!Z6</f>
        <v>0.1</v>
      </c>
      <c r="F9" s="666">
        <f t="shared" si="0"/>
        <v>509110</v>
      </c>
      <c r="G9" s="485"/>
      <c r="H9" s="1260"/>
    </row>
    <row r="10" spans="1:14" ht="24" customHeight="1">
      <c r="A10" s="485"/>
      <c r="B10" s="526" t="s">
        <v>927</v>
      </c>
      <c r="C10" s="1364">
        <f>IF(説明書!N$71="混在",SUM(投資額!G26:H26),"")</f>
        <v>2611700</v>
      </c>
      <c r="D10" s="664">
        <v>1</v>
      </c>
      <c r="E10" s="665">
        <f>係数!Z7</f>
        <v>0.1</v>
      </c>
      <c r="F10" s="666">
        <f t="shared" si="0"/>
        <v>261170</v>
      </c>
      <c r="G10" s="399"/>
      <c r="H10" s="1260"/>
    </row>
    <row r="11" spans="1:14" ht="24" customHeight="1">
      <c r="A11" s="485"/>
      <c r="B11" s="526" t="s">
        <v>928</v>
      </c>
      <c r="C11" s="1364">
        <f>IF(説明書!N$71="混在",投資額!G27,"")</f>
        <v>737450</v>
      </c>
      <c r="D11" s="664">
        <v>1</v>
      </c>
      <c r="E11" s="665">
        <f>係数!Z8</f>
        <v>0.16700000000000001</v>
      </c>
      <c r="F11" s="666">
        <f t="shared" si="0"/>
        <v>123154</v>
      </c>
      <c r="G11" s="485"/>
      <c r="H11" s="1260"/>
    </row>
    <row r="12" spans="1:14" ht="24" customHeight="1">
      <c r="A12" s="485"/>
      <c r="B12" s="527" t="s">
        <v>929</v>
      </c>
      <c r="C12" s="1364">
        <f>IF(説明書!N$71="混在",SUM(投資額!G28:H31),"")</f>
        <v>30301600</v>
      </c>
      <c r="D12" s="664">
        <v>1</v>
      </c>
      <c r="E12" s="665">
        <f>係数!Z9</f>
        <v>7.6999999999999999E-2</v>
      </c>
      <c r="F12" s="666">
        <f t="shared" si="0"/>
        <v>2333223</v>
      </c>
      <c r="G12" s="399"/>
      <c r="H12" s="1260"/>
    </row>
    <row r="13" spans="1:14" ht="24" customHeight="1">
      <c r="A13" s="485"/>
      <c r="B13" s="526" t="s">
        <v>974</v>
      </c>
      <c r="C13" s="1364">
        <f>IF(説明書!N$71="混在",投資額!G32,"")</f>
        <v>2381400</v>
      </c>
      <c r="D13" s="664">
        <v>1</v>
      </c>
      <c r="E13" s="665">
        <f>係数!Z13</f>
        <v>7.6999999999999999E-2</v>
      </c>
      <c r="F13" s="666">
        <f t="shared" si="0"/>
        <v>183368</v>
      </c>
      <c r="G13" s="485"/>
      <c r="H13" s="1260"/>
    </row>
    <row r="14" spans="1:14" ht="24" customHeight="1" thickBot="1">
      <c r="A14" s="485"/>
      <c r="B14" s="528" t="s">
        <v>930</v>
      </c>
      <c r="C14" s="1365">
        <f>IF(説明書!N$71="混在",投資額!G33,"")</f>
        <v>93100</v>
      </c>
      <c r="D14" s="667">
        <v>1</v>
      </c>
      <c r="E14" s="668">
        <f>係数!Z14</f>
        <v>0.2</v>
      </c>
      <c r="F14" s="669">
        <f t="shared" si="0"/>
        <v>18620</v>
      </c>
      <c r="G14" s="399"/>
      <c r="H14" s="1260"/>
    </row>
    <row r="15" spans="1:14" ht="24" customHeight="1" thickTop="1" thickBot="1">
      <c r="A15" s="485"/>
      <c r="B15" s="529" t="s">
        <v>931</v>
      </c>
      <c r="C15" s="670">
        <f>IF(SUM(C7:C14)=0,"",SUM(C7:C14))</f>
        <v>45366650</v>
      </c>
      <c r="D15" s="671"/>
      <c r="E15" s="672"/>
      <c r="F15" s="1259">
        <f>IF(SUM(F7:F14)=0,"",SUM(F7:F14))</f>
        <v>3639419</v>
      </c>
      <c r="G15" s="485"/>
    </row>
    <row r="16" spans="1:14" ht="24" customHeight="1">
      <c r="A16" s="485"/>
      <c r="B16" s="519"/>
      <c r="C16" s="519"/>
      <c r="D16" s="519"/>
      <c r="E16" s="519"/>
      <c r="F16" s="519"/>
      <c r="G16" s="485"/>
    </row>
    <row r="17" spans="1:7" ht="24" customHeight="1">
      <c r="A17" s="485"/>
      <c r="G17" s="485"/>
    </row>
    <row r="18" spans="1:7" ht="24" customHeight="1">
      <c r="A18" s="485"/>
      <c r="G18" s="485"/>
    </row>
    <row r="19" spans="1:7" ht="24" customHeight="1">
      <c r="A19" s="485"/>
      <c r="G19" s="399"/>
    </row>
    <row r="20" spans="1:7" ht="24" customHeight="1">
      <c r="A20" s="485"/>
      <c r="G20" s="399"/>
    </row>
    <row r="21" spans="1:7" ht="24" customHeight="1">
      <c r="A21" s="485"/>
      <c r="G21" s="399"/>
    </row>
    <row r="22" spans="1:7" ht="24" customHeight="1">
      <c r="A22" s="485"/>
      <c r="G22" s="399"/>
    </row>
    <row r="23" spans="1:7" ht="24" customHeight="1">
      <c r="A23" s="399"/>
      <c r="G23" s="399"/>
    </row>
    <row r="24" spans="1:7" ht="24" customHeight="1">
      <c r="A24" s="399"/>
      <c r="G24" s="399"/>
    </row>
    <row r="25" spans="1:7" ht="24" customHeight="1">
      <c r="A25" s="399"/>
      <c r="G25" s="399"/>
    </row>
    <row r="26" spans="1:7" ht="24" customHeight="1">
      <c r="A26" s="399"/>
      <c r="G26" s="399"/>
    </row>
    <row r="27" spans="1:7" ht="24" customHeight="1">
      <c r="A27" s="399"/>
      <c r="G27" s="399"/>
    </row>
    <row r="28" spans="1:7" ht="24" customHeight="1">
      <c r="A28" s="399"/>
      <c r="G28" s="399"/>
    </row>
    <row r="29" spans="1:7" ht="24" customHeight="1">
      <c r="A29" s="399"/>
      <c r="G29" s="399"/>
    </row>
    <row r="30" spans="1:7" ht="24" customHeight="1">
      <c r="A30" s="399"/>
      <c r="G30" s="399"/>
    </row>
    <row r="31" spans="1:7" ht="24" customHeight="1">
      <c r="A31" s="399"/>
      <c r="G31" s="399"/>
    </row>
    <row r="32" spans="1:7" ht="24" customHeight="1">
      <c r="A32" s="399"/>
      <c r="G32" s="399"/>
    </row>
    <row r="33" spans="1:7" ht="24" customHeight="1">
      <c r="A33" s="399"/>
      <c r="G33" s="399"/>
    </row>
    <row r="34" spans="1:7" ht="24" customHeight="1">
      <c r="A34" s="399"/>
      <c r="G34" s="399"/>
    </row>
    <row r="35" spans="1:7" ht="24" customHeight="1">
      <c r="A35" s="485"/>
      <c r="G35" s="399"/>
    </row>
    <row r="36" spans="1:7" ht="24" customHeight="1">
      <c r="A36" s="482"/>
      <c r="G36" s="399"/>
    </row>
    <row r="37" spans="1:7" ht="26.15" customHeight="1">
      <c r="A37" s="482"/>
      <c r="G37" s="399"/>
    </row>
    <row r="38" spans="1:7" ht="26.15" customHeight="1">
      <c r="A38" s="482"/>
      <c r="G38" s="399"/>
    </row>
    <row r="39" spans="1:7" ht="26.15" customHeight="1">
      <c r="A39" s="399"/>
      <c r="G39" s="399"/>
    </row>
    <row r="40" spans="1:7" ht="26.15" customHeight="1">
      <c r="A40" s="399"/>
    </row>
    <row r="41" spans="1:7" ht="26.15" customHeight="1">
      <c r="A41" s="399"/>
    </row>
    <row r="42" spans="1:7" ht="26.15" customHeight="1">
      <c r="A42" s="399"/>
    </row>
    <row r="43" spans="1:7" ht="26.15" customHeight="1">
      <c r="A43" s="399"/>
    </row>
    <row r="44" spans="1:7" ht="26.15" customHeight="1"/>
    <row r="45" spans="1:7" ht="26.15" customHeight="1"/>
    <row r="46" spans="1:7" ht="26.15" customHeight="1"/>
    <row r="47" spans="1:7" ht="26.15" customHeight="1"/>
    <row r="48" spans="1:7" ht="26.15" customHeight="1"/>
    <row r="49" ht="26.15" customHeight="1"/>
    <row r="50" ht="26.15" customHeight="1"/>
    <row r="51" ht="26.15" customHeight="1"/>
    <row r="52" ht="26.15" customHeight="1"/>
    <row r="53" ht="26.15" customHeight="1"/>
    <row r="54" ht="26.15" customHeight="1"/>
    <row r="55" ht="26.15" customHeight="1"/>
    <row r="56" ht="26.15" customHeight="1"/>
    <row r="57" ht="26.15" customHeight="1"/>
  </sheetData>
  <sheetProtection sheet="1"/>
  <mergeCells count="3">
    <mergeCell ref="B3:F3"/>
    <mergeCell ref="B4:F4"/>
    <mergeCell ref="D6:E6"/>
  </mergeCells>
  <phoneticPr fontId="2"/>
  <pageMargins left="0.61" right="0.21" top="0.98" bottom="0.78541666666666665" header="0.51200000000000001" footer="0.51200000000000001"/>
  <pageSetup paperSize="9" scale="96" orientation="portrait" horizontalDpi="200" verticalDpi="20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3">
    <tabColor indexed="50"/>
    <pageSetUpPr autoPageBreaks="0" fitToPage="1"/>
  </sheetPr>
  <dimension ref="B1:M48"/>
  <sheetViews>
    <sheetView showGridLines="0" zoomScale="75" zoomScaleNormal="50" workbookViewId="0"/>
  </sheetViews>
  <sheetFormatPr defaultColWidth="10.83203125" defaultRowHeight="14"/>
  <cols>
    <col min="1" max="1" width="10.83203125" style="398" customWidth="1"/>
    <col min="2" max="2" width="9.5" style="398" customWidth="1"/>
    <col min="3" max="3" width="24.25" style="398" customWidth="1"/>
    <col min="4" max="13" width="9.75" style="398" customWidth="1"/>
    <col min="14" max="16384" width="10.83203125" style="398"/>
  </cols>
  <sheetData>
    <row r="1" spans="2:13" ht="24" customHeight="1"/>
    <row r="2" spans="2:13" ht="24" customHeight="1"/>
    <row r="3" spans="2:13" ht="24" customHeight="1"/>
    <row r="4" spans="2:13" ht="24" customHeight="1">
      <c r="B4" s="2025" t="s">
        <v>1001</v>
      </c>
      <c r="C4" s="2025"/>
      <c r="D4" s="2025"/>
      <c r="E4" s="2025"/>
      <c r="F4" s="2025"/>
      <c r="G4" s="2025"/>
      <c r="H4" s="2025"/>
      <c r="I4" s="2025"/>
      <c r="J4" s="2025"/>
      <c r="K4" s="2025"/>
      <c r="L4" s="2025"/>
      <c r="M4" s="2025"/>
    </row>
    <row r="5" spans="2:13" ht="24" customHeight="1" thickBot="1">
      <c r="L5" s="484"/>
      <c r="M5" s="507" t="s">
        <v>992</v>
      </c>
    </row>
    <row r="6" spans="2:13" ht="21" customHeight="1" thickTop="1" thickBot="1">
      <c r="B6" s="486"/>
      <c r="C6" s="487"/>
      <c r="D6" s="487" t="s">
        <v>968</v>
      </c>
      <c r="E6" s="487" t="s">
        <v>972</v>
      </c>
      <c r="F6" s="487" t="s">
        <v>961</v>
      </c>
      <c r="G6" s="487" t="s">
        <v>962</v>
      </c>
      <c r="H6" s="487" t="s">
        <v>963</v>
      </c>
      <c r="I6" s="487" t="s">
        <v>964</v>
      </c>
      <c r="J6" s="487" t="s">
        <v>965</v>
      </c>
      <c r="K6" s="487" t="s">
        <v>966</v>
      </c>
      <c r="L6" s="488" t="s">
        <v>967</v>
      </c>
      <c r="M6" s="489" t="s">
        <v>931</v>
      </c>
    </row>
    <row r="7" spans="2:13" ht="21" customHeight="1">
      <c r="B7" s="2026" t="s">
        <v>925</v>
      </c>
      <c r="C7" s="536" t="s">
        <v>1000</v>
      </c>
      <c r="D7" s="632">
        <f>IF(投資額!J22=0,"－   ",投資額!J22)</f>
        <v>11910</v>
      </c>
      <c r="E7" s="632" t="str">
        <f>IF(投資額!K22=0,"－   ",投資額!K22)</f>
        <v xml:space="preserve">－   </v>
      </c>
      <c r="F7" s="632" t="str">
        <f>IF(投資額!L22=0,"－   ",投資額!L22)</f>
        <v xml:space="preserve">－   </v>
      </c>
      <c r="G7" s="632" t="str">
        <f>IF(投資額!M22=0,"－   ",投資額!M22)</f>
        <v xml:space="preserve">－   </v>
      </c>
      <c r="H7" s="632" t="str">
        <f>IF(投資額!N22=0,"－   ",投資額!N22)</f>
        <v xml:space="preserve">－   </v>
      </c>
      <c r="I7" s="632" t="str">
        <f>IF(投資額!O22=0,"－   ",投資額!O22)</f>
        <v xml:space="preserve">－   </v>
      </c>
      <c r="J7" s="632" t="str">
        <f>IF(投資額!P22=0,"－   ",投資額!P22)</f>
        <v xml:space="preserve">－   </v>
      </c>
      <c r="K7" s="632" t="str">
        <f>IF(投資額!Q22=0,"－   ",投資額!Q22)</f>
        <v xml:space="preserve">－   </v>
      </c>
      <c r="L7" s="633" t="str">
        <f>IF(投資額!R22=0,"－   ",投資額!R22)</f>
        <v xml:space="preserve">－   </v>
      </c>
      <c r="M7" s="656" t="s">
        <v>998</v>
      </c>
    </row>
    <row r="8" spans="2:13" ht="21" customHeight="1">
      <c r="B8" s="2027"/>
      <c r="C8" s="537" t="s">
        <v>969</v>
      </c>
      <c r="D8" s="634">
        <f>IF(D9="－   ","－   ",D9/D7)</f>
        <v>245</v>
      </c>
      <c r="E8" s="634" t="str">
        <f t="shared" ref="E8:L8" si="0">IF(E9="－   ","－   ",E9/E7)</f>
        <v xml:space="preserve">－   </v>
      </c>
      <c r="F8" s="634" t="str">
        <f t="shared" si="0"/>
        <v xml:space="preserve">－   </v>
      </c>
      <c r="G8" s="634" t="str">
        <f t="shared" si="0"/>
        <v xml:space="preserve">－   </v>
      </c>
      <c r="H8" s="634" t="str">
        <f t="shared" si="0"/>
        <v xml:space="preserve">－   </v>
      </c>
      <c r="I8" s="634" t="str">
        <f t="shared" si="0"/>
        <v xml:space="preserve">－   </v>
      </c>
      <c r="J8" s="634" t="str">
        <f t="shared" si="0"/>
        <v xml:space="preserve">－   </v>
      </c>
      <c r="K8" s="634" t="str">
        <f t="shared" si="0"/>
        <v xml:space="preserve">－   </v>
      </c>
      <c r="L8" s="635" t="str">
        <f t="shared" si="0"/>
        <v xml:space="preserve">－   </v>
      </c>
      <c r="M8" s="657">
        <f>IF(SUM(D8:L8)=0,"－   ",SUM(D8:L8))</f>
        <v>245</v>
      </c>
    </row>
    <row r="9" spans="2:13" ht="21" customHeight="1">
      <c r="B9" s="2028"/>
      <c r="C9" s="538" t="s">
        <v>932</v>
      </c>
      <c r="D9" s="636">
        <f>IF(投資額!T22=0,"－   ",投資額!T22)</f>
        <v>2917950</v>
      </c>
      <c r="E9" s="636" t="str">
        <f>IF(投資額!U22=0,"－   ",投資額!U22)</f>
        <v xml:space="preserve">－   </v>
      </c>
      <c r="F9" s="636" t="str">
        <f>IF(投資額!V22=0,"－   ",投資額!V22)</f>
        <v xml:space="preserve">－   </v>
      </c>
      <c r="G9" s="636" t="str">
        <f>IF(投資額!W22=0,"－   ",投資額!W22)</f>
        <v xml:space="preserve">－   </v>
      </c>
      <c r="H9" s="636" t="str">
        <f>IF(投資額!X22=0,"－   ",投資額!X22)</f>
        <v xml:space="preserve">－   </v>
      </c>
      <c r="I9" s="636" t="str">
        <f>IF(投資額!Y22=0,"－   ",投資額!Y22)</f>
        <v xml:space="preserve">－   </v>
      </c>
      <c r="J9" s="636" t="str">
        <f>IF(投資額!Z22=0,"－   ",投資額!Z22)</f>
        <v xml:space="preserve">－   </v>
      </c>
      <c r="K9" s="636" t="str">
        <f>IF(投資額!AA22=0,"－   ",投資額!AA22)</f>
        <v xml:space="preserve">－   </v>
      </c>
      <c r="L9" s="637" t="str">
        <f>IF(投資額!AB22=0,"－   ",投資額!AB22)</f>
        <v xml:space="preserve">－   </v>
      </c>
      <c r="M9" s="649">
        <f>IF(SUM(D9:L9)=0,"－   ",SUM(D9:L9))</f>
        <v>2917950</v>
      </c>
    </row>
    <row r="10" spans="2:13" ht="21" customHeight="1">
      <c r="B10" s="2029" t="s">
        <v>926</v>
      </c>
      <c r="C10" s="540" t="s">
        <v>1000</v>
      </c>
      <c r="D10" s="638">
        <f>IF(投資額!J24=0,"－   ",投資額!J24)</f>
        <v>5030</v>
      </c>
      <c r="E10" s="638" t="str">
        <f>IF(投資額!K24=0,"－   ",投資額!K24)</f>
        <v xml:space="preserve">－   </v>
      </c>
      <c r="F10" s="638" t="str">
        <f>IF(投資額!L24=0,"－   ",投資額!L24)</f>
        <v xml:space="preserve">－   </v>
      </c>
      <c r="G10" s="638" t="str">
        <f>IF(投資額!M24=0,"－   ",投資額!M24)</f>
        <v xml:space="preserve">－   </v>
      </c>
      <c r="H10" s="638" t="str">
        <f>IF(投資額!N24=0,"－   ",投資額!N24)</f>
        <v xml:space="preserve">－   </v>
      </c>
      <c r="I10" s="638" t="str">
        <f>IF(投資額!O24=0,"－   ",投資額!O24)</f>
        <v xml:space="preserve">－   </v>
      </c>
      <c r="J10" s="638" t="str">
        <f>IF(投資額!P24=0,"－   ",投資額!P24)</f>
        <v xml:space="preserve">－   </v>
      </c>
      <c r="K10" s="638" t="str">
        <f>IF(投資額!Q24=0,"－   ",投資額!Q24)</f>
        <v xml:space="preserve">－   </v>
      </c>
      <c r="L10" s="639" t="str">
        <f>IF(投資額!R24=0,"－   ",投資額!R24)</f>
        <v xml:space="preserve">－   </v>
      </c>
      <c r="M10" s="658" t="s">
        <v>998</v>
      </c>
    </row>
    <row r="11" spans="2:13" ht="21" customHeight="1">
      <c r="B11" s="2027"/>
      <c r="C11" s="537" t="s">
        <v>969</v>
      </c>
      <c r="D11" s="634">
        <f>IF(D12="－   ","－   ",D12/D10)</f>
        <v>245</v>
      </c>
      <c r="E11" s="634" t="str">
        <f t="shared" ref="E11:L11" si="1">IF(E12="－   ","－   ",E12/E10)</f>
        <v xml:space="preserve">－   </v>
      </c>
      <c r="F11" s="634" t="str">
        <f t="shared" si="1"/>
        <v xml:space="preserve">－   </v>
      </c>
      <c r="G11" s="634" t="str">
        <f t="shared" si="1"/>
        <v xml:space="preserve">－   </v>
      </c>
      <c r="H11" s="634" t="str">
        <f t="shared" si="1"/>
        <v xml:space="preserve">－   </v>
      </c>
      <c r="I11" s="634" t="str">
        <f t="shared" si="1"/>
        <v xml:space="preserve">－   </v>
      </c>
      <c r="J11" s="634" t="str">
        <f t="shared" si="1"/>
        <v xml:space="preserve">－   </v>
      </c>
      <c r="K11" s="634" t="str">
        <f t="shared" si="1"/>
        <v xml:space="preserve">－   </v>
      </c>
      <c r="L11" s="635" t="str">
        <f t="shared" si="1"/>
        <v xml:space="preserve">－   </v>
      </c>
      <c r="M11" s="657">
        <f>IF(SUM(D11:L11)=0,"－   ",SUM(D11:L11))</f>
        <v>245</v>
      </c>
    </row>
    <row r="12" spans="2:13" ht="21" customHeight="1">
      <c r="B12" s="2028"/>
      <c r="C12" s="539" t="s">
        <v>932</v>
      </c>
      <c r="D12" s="636">
        <f>IF(投資額!T24=0,"－   ",投資額!T24)</f>
        <v>1232350</v>
      </c>
      <c r="E12" s="636" t="str">
        <f>IF(投資額!U24=0,"－   ",投資額!U24)</f>
        <v xml:space="preserve">－   </v>
      </c>
      <c r="F12" s="636" t="str">
        <f>IF(投資額!V24=0,"－   ",投資額!V24)</f>
        <v xml:space="preserve">－   </v>
      </c>
      <c r="G12" s="636" t="str">
        <f>IF(投資額!W24=0,"－   ",投資額!W24)</f>
        <v xml:space="preserve">－   </v>
      </c>
      <c r="H12" s="636" t="str">
        <f>IF(投資額!X24=0,"－   ",投資額!X24)</f>
        <v xml:space="preserve">－   </v>
      </c>
      <c r="I12" s="636" t="str">
        <f>IF(投資額!Y24=0,"－   ",投資額!Y24)</f>
        <v xml:space="preserve">－   </v>
      </c>
      <c r="J12" s="636" t="str">
        <f>IF(投資額!Z24=0,"－   ",投資額!Z24)</f>
        <v xml:space="preserve">－   </v>
      </c>
      <c r="K12" s="636" t="str">
        <f>IF(投資額!AA24=0,"－   ",投資額!AA24)</f>
        <v xml:space="preserve">－   </v>
      </c>
      <c r="L12" s="637" t="str">
        <f>IF(投資額!AB24=0,"－   ",投資額!AB24)</f>
        <v xml:space="preserve">－   </v>
      </c>
      <c r="M12" s="659">
        <f>IF(SUM(D12:L12)=0,"－   ",SUM(D12:L12))</f>
        <v>1232350</v>
      </c>
    </row>
    <row r="13" spans="2:13" ht="21" customHeight="1">
      <c r="B13" s="2031" t="s">
        <v>550</v>
      </c>
      <c r="C13" s="1428" t="s">
        <v>1000</v>
      </c>
      <c r="D13" s="1429">
        <f>IF(投資額!J25=0,"－   ",投資額!J25)</f>
        <v>20780</v>
      </c>
      <c r="E13" s="1429" t="str">
        <f>IF(投資額!K25=0,"－   ",投資額!K25)</f>
        <v xml:space="preserve">－   </v>
      </c>
      <c r="F13" s="1429" t="str">
        <f>IF(投資額!L25=0,"－   ",投資額!L25)</f>
        <v xml:space="preserve">－   </v>
      </c>
      <c r="G13" s="1429" t="str">
        <f>IF(投資額!M25=0,"－   ",投資額!M25)</f>
        <v xml:space="preserve">－   </v>
      </c>
      <c r="H13" s="1429" t="str">
        <f>IF(投資額!N25=0,"－   ",投資額!N25)</f>
        <v xml:space="preserve">－   </v>
      </c>
      <c r="I13" s="1429" t="str">
        <f>IF(投資額!O25=0,"－   ",投資額!O25)</f>
        <v xml:space="preserve">－   </v>
      </c>
      <c r="J13" s="1429" t="str">
        <f>IF(投資額!P25=0,"－   ",投資額!P25)</f>
        <v xml:space="preserve">－   </v>
      </c>
      <c r="K13" s="1429" t="str">
        <f>IF(投資額!Q25=0,"－   ",投資額!Q25)</f>
        <v xml:space="preserve">－   </v>
      </c>
      <c r="L13" s="1430" t="str">
        <f>IF(投資額!R25=0,"－   ",投資額!R25)</f>
        <v xml:space="preserve">－   </v>
      </c>
      <c r="M13" s="1431" t="s">
        <v>998</v>
      </c>
    </row>
    <row r="14" spans="2:13" ht="21" customHeight="1">
      <c r="B14" s="2032"/>
      <c r="C14" s="1432" t="s">
        <v>969</v>
      </c>
      <c r="D14" s="1433">
        <f>IF(D15="－   ","－   ",D15/D13)</f>
        <v>245</v>
      </c>
      <c r="E14" s="1433" t="str">
        <f t="shared" ref="E14:L14" si="2">IF(E15="－   ","－   ",E15/E13)</f>
        <v xml:space="preserve">－   </v>
      </c>
      <c r="F14" s="1433" t="str">
        <f t="shared" si="2"/>
        <v xml:space="preserve">－   </v>
      </c>
      <c r="G14" s="1433" t="str">
        <f t="shared" si="2"/>
        <v xml:space="preserve">－   </v>
      </c>
      <c r="H14" s="1433" t="str">
        <f t="shared" si="2"/>
        <v xml:space="preserve">－   </v>
      </c>
      <c r="I14" s="1433" t="str">
        <f t="shared" si="2"/>
        <v xml:space="preserve">－   </v>
      </c>
      <c r="J14" s="1433" t="str">
        <f t="shared" si="2"/>
        <v xml:space="preserve">－   </v>
      </c>
      <c r="K14" s="1433" t="str">
        <f t="shared" si="2"/>
        <v xml:space="preserve">－   </v>
      </c>
      <c r="L14" s="1434" t="str">
        <f t="shared" si="2"/>
        <v xml:space="preserve">－   </v>
      </c>
      <c r="M14" s="1435">
        <f>IF(SUM(D14:L14)=0,"－   ",SUM(D14:L14))</f>
        <v>245</v>
      </c>
    </row>
    <row r="15" spans="2:13" ht="21" customHeight="1">
      <c r="B15" s="2033"/>
      <c r="C15" s="1436" t="s">
        <v>932</v>
      </c>
      <c r="D15" s="1437">
        <f>IF(投資額!T25=0,"－   ",投資額!T25)</f>
        <v>5091100</v>
      </c>
      <c r="E15" s="1437" t="str">
        <f>IF(投資額!U25=0,"－   ",投資額!U25)</f>
        <v xml:space="preserve">－   </v>
      </c>
      <c r="F15" s="1437" t="str">
        <f>IF(投資額!V25=0,"－   ",投資額!V25)</f>
        <v xml:space="preserve">－   </v>
      </c>
      <c r="G15" s="1437" t="str">
        <f>IF(投資額!W25=0,"－   ",投資額!W25)</f>
        <v xml:space="preserve">－   </v>
      </c>
      <c r="H15" s="1437" t="str">
        <f>IF(投資額!X25=0,"－   ",投資額!X25)</f>
        <v xml:space="preserve">－   </v>
      </c>
      <c r="I15" s="1437" t="str">
        <f>IF(投資額!Y25=0,"－   ",投資額!Y25)</f>
        <v xml:space="preserve">－   </v>
      </c>
      <c r="J15" s="1437" t="str">
        <f>IF(投資額!Z25=0,"－   ",投資額!Z25)</f>
        <v xml:space="preserve">－   </v>
      </c>
      <c r="K15" s="1437" t="str">
        <f>IF(投資額!AA25=0,"－   ",投資額!AA25)</f>
        <v xml:space="preserve">－   </v>
      </c>
      <c r="L15" s="1438" t="str">
        <f>IF(投資額!AB25=0,"－   ",投資額!AB25)</f>
        <v xml:space="preserve">－   </v>
      </c>
      <c r="M15" s="1439">
        <f>IF(SUM(D15:L15)=0,"－   ",SUM(D15:L15))</f>
        <v>5091100</v>
      </c>
    </row>
    <row r="16" spans="2:13" ht="21" customHeight="1">
      <c r="B16" s="2029" t="s">
        <v>927</v>
      </c>
      <c r="C16" s="541" t="s">
        <v>1000</v>
      </c>
      <c r="D16" s="638">
        <f>IF(投資額!J26=0,"－   ",投資額!J26)</f>
        <v>10660</v>
      </c>
      <c r="E16" s="638" t="str">
        <f>IF(投資額!K26=0,"－   ",投資額!K26)</f>
        <v xml:space="preserve">－   </v>
      </c>
      <c r="F16" s="638" t="str">
        <f>IF(投資額!L26=0,"－   ",投資額!L26)</f>
        <v xml:space="preserve">－   </v>
      </c>
      <c r="G16" s="638" t="str">
        <f>IF(投資額!M26=0,"－   ",投資額!M26)</f>
        <v xml:space="preserve">－   </v>
      </c>
      <c r="H16" s="638" t="str">
        <f>IF(投資額!N26=0,"－   ",投資額!N26)</f>
        <v xml:space="preserve">－   </v>
      </c>
      <c r="I16" s="638" t="str">
        <f>IF(投資額!O26=0,"－   ",投資額!O26)</f>
        <v xml:space="preserve">－   </v>
      </c>
      <c r="J16" s="638" t="str">
        <f>IF(投資額!P26=0,"－   ",投資額!P26)</f>
        <v xml:space="preserve">－   </v>
      </c>
      <c r="K16" s="638" t="str">
        <f>IF(投資額!Q26=0,"－   ",投資額!Q26)</f>
        <v xml:space="preserve">－   </v>
      </c>
      <c r="L16" s="639" t="str">
        <f>IF(投資額!R26=0,"－   ",投資額!R26)</f>
        <v xml:space="preserve">－   </v>
      </c>
      <c r="M16" s="660" t="s">
        <v>998</v>
      </c>
    </row>
    <row r="17" spans="2:13" ht="21" customHeight="1">
      <c r="B17" s="2027"/>
      <c r="C17" s="537" t="s">
        <v>969</v>
      </c>
      <c r="D17" s="634">
        <f>IF(D18="－   ","－   ",D18/D16)</f>
        <v>245</v>
      </c>
      <c r="E17" s="634" t="str">
        <f t="shared" ref="E17:L17" si="3">IF(E18="－   ","－   ",E18/E16)</f>
        <v xml:space="preserve">－   </v>
      </c>
      <c r="F17" s="634" t="str">
        <f t="shared" si="3"/>
        <v xml:space="preserve">－   </v>
      </c>
      <c r="G17" s="634" t="str">
        <f t="shared" si="3"/>
        <v xml:space="preserve">－   </v>
      </c>
      <c r="H17" s="634" t="str">
        <f t="shared" si="3"/>
        <v xml:space="preserve">－   </v>
      </c>
      <c r="I17" s="634" t="str">
        <f t="shared" si="3"/>
        <v xml:space="preserve">－   </v>
      </c>
      <c r="J17" s="634" t="str">
        <f t="shared" si="3"/>
        <v xml:space="preserve">－   </v>
      </c>
      <c r="K17" s="634" t="str">
        <f t="shared" si="3"/>
        <v xml:space="preserve">－   </v>
      </c>
      <c r="L17" s="635" t="str">
        <f t="shared" si="3"/>
        <v xml:space="preserve">－   </v>
      </c>
      <c r="M17" s="657">
        <f>IF(SUM(D17:L17)=0,"－   ",SUM(D17:L17))</f>
        <v>245</v>
      </c>
    </row>
    <row r="18" spans="2:13" ht="21" customHeight="1">
      <c r="B18" s="2028"/>
      <c r="C18" s="538" t="s">
        <v>932</v>
      </c>
      <c r="D18" s="636">
        <f>IF(投資額!T26=0,"－   ",投資額!T26)</f>
        <v>2611700</v>
      </c>
      <c r="E18" s="636" t="str">
        <f>IF(投資額!U26=0,"－   ",投資額!U26)</f>
        <v xml:space="preserve">－   </v>
      </c>
      <c r="F18" s="636" t="str">
        <f>IF(投資額!V26=0,"－   ",投資額!V26)</f>
        <v xml:space="preserve">－   </v>
      </c>
      <c r="G18" s="636" t="str">
        <f>IF(投資額!W26=0,"－   ",投資額!W26)</f>
        <v xml:space="preserve">－   </v>
      </c>
      <c r="H18" s="636" t="str">
        <f>IF(投資額!X26=0,"－   ",投資額!X26)</f>
        <v xml:space="preserve">－   </v>
      </c>
      <c r="I18" s="636" t="str">
        <f>IF(投資額!Y26=0,"－   ",投資額!Y26)</f>
        <v xml:space="preserve">－   </v>
      </c>
      <c r="J18" s="636" t="str">
        <f>IF(投資額!Z26=0,"－   ",投資額!Z26)</f>
        <v xml:space="preserve">－   </v>
      </c>
      <c r="K18" s="636" t="str">
        <f>IF(投資額!AA26=0,"－   ",投資額!AA26)</f>
        <v xml:space="preserve">－   </v>
      </c>
      <c r="L18" s="637" t="str">
        <f>IF(投資額!AB26=0,"－   ",投資額!AB26)</f>
        <v xml:space="preserve">－   </v>
      </c>
      <c r="M18" s="649">
        <f>IF(SUM(D18:L18)=0,"－   ",SUM(D18:L18))</f>
        <v>2611700</v>
      </c>
    </row>
    <row r="19" spans="2:13" ht="21" customHeight="1">
      <c r="B19" s="2029" t="s">
        <v>928</v>
      </c>
      <c r="C19" s="540" t="s">
        <v>1000</v>
      </c>
      <c r="D19" s="638">
        <f>IF(投資額!J27=0,"－   ",投資額!J27)</f>
        <v>3010</v>
      </c>
      <c r="E19" s="638" t="str">
        <f>IF(投資額!K27=0,"－   ",投資額!K27)</f>
        <v xml:space="preserve">－   </v>
      </c>
      <c r="F19" s="638" t="str">
        <f>IF(投資額!L27=0,"－   ",投資額!L27)</f>
        <v xml:space="preserve">－   </v>
      </c>
      <c r="G19" s="638" t="str">
        <f>IF(投資額!M27=0,"－   ",投資額!M27)</f>
        <v xml:space="preserve">－   </v>
      </c>
      <c r="H19" s="638" t="str">
        <f>IF(投資額!N27=0,"－   ",投資額!N27)</f>
        <v xml:space="preserve">－   </v>
      </c>
      <c r="I19" s="638" t="str">
        <f>IF(投資額!O27=0,"－   ",投資額!O27)</f>
        <v xml:space="preserve">－   </v>
      </c>
      <c r="J19" s="638" t="str">
        <f>IF(投資額!P27=0,"－   ",投資額!P27)</f>
        <v xml:space="preserve">－   </v>
      </c>
      <c r="K19" s="638" t="str">
        <f>IF(投資額!Q27=0,"－   ",投資額!Q27)</f>
        <v xml:space="preserve">－   </v>
      </c>
      <c r="L19" s="639" t="str">
        <f>IF(投資額!R27=0,"－   ",投資額!R27)</f>
        <v xml:space="preserve">－   </v>
      </c>
      <c r="M19" s="658" t="s">
        <v>998</v>
      </c>
    </row>
    <row r="20" spans="2:13" ht="21" customHeight="1">
      <c r="B20" s="2027"/>
      <c r="C20" s="537" t="s">
        <v>969</v>
      </c>
      <c r="D20" s="634">
        <f>IF(D21="－   ","－   ",D21/D19)</f>
        <v>245</v>
      </c>
      <c r="E20" s="634" t="str">
        <f t="shared" ref="E20:L20" si="4">IF(E21="－   ","－   ",E21/E19)</f>
        <v xml:space="preserve">－   </v>
      </c>
      <c r="F20" s="634" t="str">
        <f t="shared" si="4"/>
        <v xml:space="preserve">－   </v>
      </c>
      <c r="G20" s="634" t="str">
        <f t="shared" si="4"/>
        <v xml:space="preserve">－   </v>
      </c>
      <c r="H20" s="634" t="str">
        <f t="shared" si="4"/>
        <v xml:space="preserve">－   </v>
      </c>
      <c r="I20" s="634" t="str">
        <f t="shared" si="4"/>
        <v xml:space="preserve">－   </v>
      </c>
      <c r="J20" s="634" t="str">
        <f t="shared" si="4"/>
        <v xml:space="preserve">－   </v>
      </c>
      <c r="K20" s="634" t="str">
        <f t="shared" si="4"/>
        <v xml:space="preserve">－   </v>
      </c>
      <c r="L20" s="635" t="str">
        <f t="shared" si="4"/>
        <v xml:space="preserve">－   </v>
      </c>
      <c r="M20" s="657">
        <f>IF(SUM(D20:L20)=0,"－   ",SUM(D20:L20))</f>
        <v>245</v>
      </c>
    </row>
    <row r="21" spans="2:13" ht="21" customHeight="1">
      <c r="B21" s="2028"/>
      <c r="C21" s="539" t="s">
        <v>932</v>
      </c>
      <c r="D21" s="636">
        <f>IF(投資額!T27=0,"－   ",投資額!T27)</f>
        <v>737450</v>
      </c>
      <c r="E21" s="636" t="str">
        <f>IF(投資額!U27=0,"－   ",投資額!U27)</f>
        <v xml:space="preserve">－   </v>
      </c>
      <c r="F21" s="636" t="str">
        <f>IF(投資額!V27=0,"－   ",投資額!V27)</f>
        <v xml:space="preserve">－   </v>
      </c>
      <c r="G21" s="636" t="str">
        <f>IF(投資額!W27=0,"－   ",投資額!W27)</f>
        <v xml:space="preserve">－   </v>
      </c>
      <c r="H21" s="636" t="str">
        <f>IF(投資額!X27=0,"－   ",投資額!X27)</f>
        <v xml:space="preserve">－   </v>
      </c>
      <c r="I21" s="636" t="str">
        <f>IF(投資額!Y27=0,"－   ",投資額!Y27)</f>
        <v xml:space="preserve">－   </v>
      </c>
      <c r="J21" s="636" t="str">
        <f>IF(投資額!Z27=0,"－   ",投資額!Z27)</f>
        <v xml:space="preserve">－   </v>
      </c>
      <c r="K21" s="636" t="str">
        <f>IF(投資額!AA27=0,"－   ",投資額!AA27)</f>
        <v xml:space="preserve">－   </v>
      </c>
      <c r="L21" s="637" t="str">
        <f>IF(投資額!AB27=0,"－   ",投資額!AB27)</f>
        <v xml:space="preserve">－   </v>
      </c>
      <c r="M21" s="659">
        <f>IF(SUM(D21:L21)=0,"－   ",SUM(D21:L21))</f>
        <v>737450</v>
      </c>
    </row>
    <row r="22" spans="2:13" ht="21" customHeight="1">
      <c r="B22" s="2029" t="s">
        <v>999</v>
      </c>
      <c r="C22" s="541" t="s">
        <v>1000</v>
      </c>
      <c r="D22" s="638">
        <f>IF(投資額!J32=0,"－   ",投資額!J32)</f>
        <v>9720</v>
      </c>
      <c r="E22" s="638" t="str">
        <f>IF(投資額!K32=0,"－   ",投資額!K32)</f>
        <v xml:space="preserve">－   </v>
      </c>
      <c r="F22" s="638" t="str">
        <f>IF(投資額!L32=0,"－   ",投資額!L32)</f>
        <v xml:space="preserve">－   </v>
      </c>
      <c r="G22" s="638" t="str">
        <f>IF(投資額!M32=0,"－   ",投資額!M32)</f>
        <v xml:space="preserve">－   </v>
      </c>
      <c r="H22" s="638" t="str">
        <f>IF(投資額!N32=0,"－   ",投資額!N32)</f>
        <v xml:space="preserve">－   </v>
      </c>
      <c r="I22" s="638" t="str">
        <f>IF(投資額!O32=0,"－   ",投資額!O32)</f>
        <v xml:space="preserve">－   </v>
      </c>
      <c r="J22" s="638" t="str">
        <f>IF(投資額!P32=0,"－   ",投資額!P32)</f>
        <v xml:space="preserve">－   </v>
      </c>
      <c r="K22" s="638" t="str">
        <f>IF(投資額!Q32=0,"－   ",投資額!Q32)</f>
        <v xml:space="preserve">－   </v>
      </c>
      <c r="L22" s="639" t="str">
        <f>IF(投資額!R32=0,"－   ",投資額!R32)</f>
        <v xml:space="preserve">－   </v>
      </c>
      <c r="M22" s="660" t="s">
        <v>998</v>
      </c>
    </row>
    <row r="23" spans="2:13" ht="21" customHeight="1">
      <c r="B23" s="2027"/>
      <c r="C23" s="537" t="s">
        <v>969</v>
      </c>
      <c r="D23" s="634">
        <f>IF(D24="－   ","－   ",D24/D22)</f>
        <v>245</v>
      </c>
      <c r="E23" s="634" t="str">
        <f t="shared" ref="E23:L23" si="5">IF(E24="－   ","－   ",E24/E22)</f>
        <v xml:space="preserve">－   </v>
      </c>
      <c r="F23" s="634" t="str">
        <f t="shared" si="5"/>
        <v xml:space="preserve">－   </v>
      </c>
      <c r="G23" s="634" t="str">
        <f t="shared" si="5"/>
        <v xml:space="preserve">－   </v>
      </c>
      <c r="H23" s="634" t="str">
        <f t="shared" si="5"/>
        <v xml:space="preserve">－   </v>
      </c>
      <c r="I23" s="634" t="str">
        <f t="shared" si="5"/>
        <v xml:space="preserve">－   </v>
      </c>
      <c r="J23" s="634" t="str">
        <f t="shared" si="5"/>
        <v xml:space="preserve">－   </v>
      </c>
      <c r="K23" s="634" t="str">
        <f t="shared" si="5"/>
        <v xml:space="preserve">－   </v>
      </c>
      <c r="L23" s="635" t="str">
        <f t="shared" si="5"/>
        <v xml:space="preserve">－   </v>
      </c>
      <c r="M23" s="657">
        <f>IF(SUM(D23:L23)=0,"－   ",SUM(D23:L23))</f>
        <v>245</v>
      </c>
    </row>
    <row r="24" spans="2:13" ht="21" customHeight="1">
      <c r="B24" s="2028"/>
      <c r="C24" s="538" t="s">
        <v>932</v>
      </c>
      <c r="D24" s="636">
        <f>IF(投資額!T32=0,"－   ",投資額!T32)</f>
        <v>2381400</v>
      </c>
      <c r="E24" s="636" t="str">
        <f>IF(投資額!U32=0,"－   ",投資額!U32)</f>
        <v xml:space="preserve">－   </v>
      </c>
      <c r="F24" s="636" t="str">
        <f>IF(投資額!V32=0,"－   ",投資額!V32)</f>
        <v xml:space="preserve">－   </v>
      </c>
      <c r="G24" s="636" t="str">
        <f>IF(投資額!W32=0,"－   ",投資額!W32)</f>
        <v xml:space="preserve">－   </v>
      </c>
      <c r="H24" s="636" t="str">
        <f>IF(投資額!X32=0,"－   ",投資額!X32)</f>
        <v xml:space="preserve">－   </v>
      </c>
      <c r="I24" s="636" t="str">
        <f>IF(投資額!Y32=0,"－   ",投資額!Y32)</f>
        <v xml:space="preserve">－   </v>
      </c>
      <c r="J24" s="636" t="str">
        <f>IF(投資額!Z32=0,"－   ",投資額!Z32)</f>
        <v xml:space="preserve">－   </v>
      </c>
      <c r="K24" s="636" t="str">
        <f>IF(投資額!AA32=0,"－   ",投資額!AA32)</f>
        <v xml:space="preserve">－   </v>
      </c>
      <c r="L24" s="637" t="str">
        <f>IF(投資額!AB32=0,"－   ",投資額!AB32)</f>
        <v xml:space="preserve">－   </v>
      </c>
      <c r="M24" s="649">
        <f>IF(SUM(D24:L24)=0,"－   ",SUM(D24:L24))</f>
        <v>2381400</v>
      </c>
    </row>
    <row r="25" spans="2:13" ht="21" customHeight="1">
      <c r="B25" s="2029" t="s">
        <v>930</v>
      </c>
      <c r="C25" s="541" t="s">
        <v>1000</v>
      </c>
      <c r="D25" s="638">
        <f>IF(投資額!J33=0,"－   ",投資額!J33)</f>
        <v>380</v>
      </c>
      <c r="E25" s="638" t="str">
        <f>IF(投資額!K33=0,"－   ",投資額!K33)</f>
        <v xml:space="preserve">－   </v>
      </c>
      <c r="F25" s="638" t="str">
        <f>IF(投資額!L33=0,"－   ",投資額!L33)</f>
        <v xml:space="preserve">－   </v>
      </c>
      <c r="G25" s="638" t="str">
        <f>IF(投資額!M33=0,"－   ",投資額!M33)</f>
        <v xml:space="preserve">－   </v>
      </c>
      <c r="H25" s="638" t="str">
        <f>IF(投資額!N33=0,"－   ",投資額!N33)</f>
        <v xml:space="preserve">－   </v>
      </c>
      <c r="I25" s="638" t="str">
        <f>IF(投資額!O33=0,"－   ",投資額!O33)</f>
        <v xml:space="preserve">－   </v>
      </c>
      <c r="J25" s="638" t="str">
        <f>IF(投資額!P33=0,"－   ",投資額!P33)</f>
        <v xml:space="preserve">－   </v>
      </c>
      <c r="K25" s="638" t="str">
        <f>IF(投資額!Q33=0,"－   ",投資額!Q33)</f>
        <v xml:space="preserve">－   </v>
      </c>
      <c r="L25" s="639" t="str">
        <f>IF(投資額!R33=0,"－   ",投資額!R33)</f>
        <v xml:space="preserve">－   </v>
      </c>
      <c r="M25" s="660" t="s">
        <v>998</v>
      </c>
    </row>
    <row r="26" spans="2:13" ht="21" customHeight="1">
      <c r="B26" s="2027"/>
      <c r="C26" s="537" t="s">
        <v>969</v>
      </c>
      <c r="D26" s="634">
        <f>IF(D27="－   ","－   ",D27/D25)</f>
        <v>245</v>
      </c>
      <c r="E26" s="634" t="str">
        <f t="shared" ref="E26:L26" si="6">IF(E27="－   ","－   ",E27/E25)</f>
        <v xml:space="preserve">－   </v>
      </c>
      <c r="F26" s="634" t="str">
        <f t="shared" si="6"/>
        <v xml:space="preserve">－   </v>
      </c>
      <c r="G26" s="634" t="str">
        <f t="shared" si="6"/>
        <v xml:space="preserve">－   </v>
      </c>
      <c r="H26" s="634" t="str">
        <f t="shared" si="6"/>
        <v xml:space="preserve">－   </v>
      </c>
      <c r="I26" s="634" t="str">
        <f t="shared" si="6"/>
        <v xml:space="preserve">－   </v>
      </c>
      <c r="J26" s="634" t="str">
        <f t="shared" si="6"/>
        <v xml:space="preserve">－   </v>
      </c>
      <c r="K26" s="634" t="str">
        <f t="shared" si="6"/>
        <v xml:space="preserve">－   </v>
      </c>
      <c r="L26" s="635" t="str">
        <f t="shared" si="6"/>
        <v xml:space="preserve">－   </v>
      </c>
      <c r="M26" s="657">
        <f>IF(SUM(D26:L26)=0,"－   ",SUM(D26:L26))</f>
        <v>245</v>
      </c>
    </row>
    <row r="27" spans="2:13" ht="21" customHeight="1" thickBot="1">
      <c r="B27" s="2030"/>
      <c r="C27" s="542" t="s">
        <v>932</v>
      </c>
      <c r="D27" s="640">
        <f>IF(投資額!T33=0,"－   ",投資額!T33)</f>
        <v>93100</v>
      </c>
      <c r="E27" s="640" t="str">
        <f>IF(投資額!U33=0,"－   ",投資額!U33)</f>
        <v xml:space="preserve">－   </v>
      </c>
      <c r="F27" s="640" t="str">
        <f>IF(投資額!V33=0,"－   ",投資額!V33)</f>
        <v xml:space="preserve">－   </v>
      </c>
      <c r="G27" s="640" t="str">
        <f>IF(投資額!W33=0,"－   ",投資額!W33)</f>
        <v xml:space="preserve">－   </v>
      </c>
      <c r="H27" s="640" t="str">
        <f>IF(投資額!X33=0,"－   ",投資額!X33)</f>
        <v xml:space="preserve">－   </v>
      </c>
      <c r="I27" s="640" t="str">
        <f>IF(投資額!Y33=0,"－   ",投資額!Y33)</f>
        <v xml:space="preserve">－   </v>
      </c>
      <c r="J27" s="640" t="str">
        <f>IF(投資額!Z33=0,"－   ",投資額!Z33)</f>
        <v xml:space="preserve">－   </v>
      </c>
      <c r="K27" s="640" t="str">
        <f>IF(投資額!AA33=0,"－   ",投資額!AA33)</f>
        <v xml:space="preserve">－   </v>
      </c>
      <c r="L27" s="641" t="str">
        <f>IF(投資額!AB33=0,"－   ",投資額!AB33)</f>
        <v xml:space="preserve">－   </v>
      </c>
      <c r="M27" s="655">
        <f>IF(SUM(D27:L27)=0,"－   ",SUM(D27:L27))</f>
        <v>93100</v>
      </c>
    </row>
    <row r="28" spans="2:13" ht="21" customHeight="1" thickTop="1"/>
    <row r="29" spans="2:13" ht="21" customHeight="1"/>
    <row r="30" spans="2:13" ht="21" customHeight="1"/>
    <row r="31" spans="2:13" ht="21" customHeight="1"/>
    <row r="32" spans="2:13" ht="21" customHeight="1"/>
    <row r="33" ht="21" customHeight="1"/>
    <row r="34" ht="24" customHeight="1"/>
    <row r="35" ht="24" customHeight="1"/>
    <row r="36" ht="26.15" customHeight="1"/>
    <row r="37" ht="26.15" customHeight="1"/>
    <row r="38" ht="26.15" customHeight="1"/>
    <row r="39" ht="26.15" customHeight="1"/>
    <row r="40" ht="26.15" customHeight="1"/>
    <row r="41" ht="26.15" customHeight="1"/>
    <row r="42" ht="26.15" customHeight="1"/>
    <row r="43" ht="26.15" customHeight="1"/>
    <row r="44" ht="26.15" customHeight="1"/>
    <row r="45" ht="26.15" customHeight="1"/>
    <row r="46" ht="26.15" customHeight="1"/>
    <row r="47" ht="26.15" customHeight="1"/>
    <row r="48" ht="26.15" customHeight="1"/>
  </sheetData>
  <sheetProtection sheet="1"/>
  <mergeCells count="8">
    <mergeCell ref="B4:M4"/>
    <mergeCell ref="B7:B9"/>
    <mergeCell ref="B25:B27"/>
    <mergeCell ref="B10:B12"/>
    <mergeCell ref="B16:B18"/>
    <mergeCell ref="B19:B21"/>
    <mergeCell ref="B22:B24"/>
    <mergeCell ref="B13:B15"/>
  </mergeCells>
  <phoneticPr fontId="2"/>
  <pageMargins left="0.4" right="0.21" top="0.61" bottom="0.97" header="0.4" footer="0.51200000000000001"/>
  <pageSetup paperSize="9" scale="97" orientation="landscape" horizontalDpi="200" verticalDpi="200"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28">
    <tabColor indexed="50"/>
    <pageSetUpPr autoPageBreaks="0"/>
  </sheetPr>
  <dimension ref="B1:G19"/>
  <sheetViews>
    <sheetView showGridLines="0" zoomScale="75" workbookViewId="0">
      <selection activeCell="F15" sqref="F15:F17"/>
    </sheetView>
  </sheetViews>
  <sheetFormatPr defaultRowHeight="14"/>
  <cols>
    <col min="2" max="2" width="16.58203125" customWidth="1"/>
    <col min="3" max="4" width="13.58203125" customWidth="1"/>
    <col min="5" max="6" width="10.58203125" customWidth="1"/>
    <col min="7" max="7" width="13.58203125" customWidth="1"/>
  </cols>
  <sheetData>
    <row r="1" spans="2:7" ht="24" customHeight="1"/>
    <row r="2" spans="2:7" ht="24" customHeight="1"/>
    <row r="3" spans="2:7" ht="24" customHeight="1">
      <c r="B3" s="2034" t="s">
        <v>1142</v>
      </c>
      <c r="C3" s="2034"/>
      <c r="D3" s="2034"/>
      <c r="E3" s="2034"/>
      <c r="F3" s="2034"/>
      <c r="G3" s="2034"/>
    </row>
    <row r="4" spans="2:7" ht="24" customHeight="1" thickBot="1">
      <c r="B4" s="214"/>
      <c r="C4" s="214"/>
      <c r="D4" s="214"/>
      <c r="E4" s="214"/>
      <c r="F4" s="214"/>
      <c r="G4" s="214"/>
    </row>
    <row r="5" spans="2:7" ht="24" customHeight="1" thickBot="1">
      <c r="B5" s="871" t="s">
        <v>1148</v>
      </c>
      <c r="C5" s="864" t="s">
        <v>794</v>
      </c>
      <c r="D5" s="865" t="s">
        <v>932</v>
      </c>
      <c r="E5" s="2055" t="s">
        <v>1146</v>
      </c>
      <c r="F5" s="2056"/>
      <c r="G5" s="866" t="s">
        <v>1144</v>
      </c>
    </row>
    <row r="6" spans="2:7" ht="24" customHeight="1">
      <c r="B6" s="2040" t="s">
        <v>1151</v>
      </c>
      <c r="C6" s="873" t="s">
        <v>478</v>
      </c>
      <c r="D6" s="867">
        <f>投資額!G22</f>
        <v>2917950</v>
      </c>
      <c r="E6" s="2043">
        <v>0.5</v>
      </c>
      <c r="F6" s="2044"/>
      <c r="G6" s="868">
        <f>ROUND(D6*$E$6,0)</f>
        <v>1458975</v>
      </c>
    </row>
    <row r="7" spans="2:7" ht="24" customHeight="1">
      <c r="B7" s="2041"/>
      <c r="C7" s="874" t="s">
        <v>480</v>
      </c>
      <c r="D7" s="869">
        <f>投資額!G24</f>
        <v>1232350</v>
      </c>
      <c r="E7" s="2045"/>
      <c r="F7" s="2046"/>
      <c r="G7" s="870">
        <f t="shared" ref="G7:G13" si="0">ROUND(D7*$E$6,0)</f>
        <v>616175</v>
      </c>
    </row>
    <row r="8" spans="2:7" ht="24" customHeight="1">
      <c r="B8" s="2041"/>
      <c r="C8" s="874" t="s">
        <v>482</v>
      </c>
      <c r="D8" s="974">
        <f>投資額!AC26</f>
        <v>2611700</v>
      </c>
      <c r="E8" s="2045"/>
      <c r="F8" s="2046"/>
      <c r="G8" s="870">
        <f>ROUND(D8*$E$6,0)</f>
        <v>1305850</v>
      </c>
    </row>
    <row r="9" spans="2:7" ht="24" customHeight="1">
      <c r="B9" s="2041"/>
      <c r="C9" s="874" t="s">
        <v>483</v>
      </c>
      <c r="D9" s="974">
        <f>投資額!G27</f>
        <v>737450</v>
      </c>
      <c r="E9" s="2045"/>
      <c r="F9" s="2046"/>
      <c r="G9" s="870">
        <f>ROUND(D9*$E$6,0)</f>
        <v>368725</v>
      </c>
    </row>
    <row r="10" spans="2:7" ht="24" customHeight="1">
      <c r="B10" s="2041"/>
      <c r="C10" s="874" t="s">
        <v>1141</v>
      </c>
      <c r="D10" s="974">
        <f>SUM(投資額!AC28:AC31,投資額!AC36:AC39)</f>
        <v>30301600</v>
      </c>
      <c r="E10" s="2045"/>
      <c r="F10" s="2046"/>
      <c r="G10" s="870">
        <f>ROUND(D10*$E$6,0)</f>
        <v>15150800</v>
      </c>
    </row>
    <row r="11" spans="2:7" ht="24" customHeight="1">
      <c r="B11" s="2041"/>
      <c r="C11" s="874" t="s">
        <v>1147</v>
      </c>
      <c r="D11" s="869">
        <f>投資額!G32</f>
        <v>2381400</v>
      </c>
      <c r="E11" s="2045"/>
      <c r="F11" s="2046"/>
      <c r="G11" s="870">
        <f t="shared" si="0"/>
        <v>1190700</v>
      </c>
    </row>
    <row r="12" spans="2:7" ht="24" customHeight="1">
      <c r="B12" s="2041"/>
      <c r="C12" s="874" t="s">
        <v>489</v>
      </c>
      <c r="D12" s="869">
        <f>投資額!G33</f>
        <v>93100</v>
      </c>
      <c r="E12" s="2045"/>
      <c r="F12" s="2046"/>
      <c r="G12" s="870">
        <f t="shared" si="0"/>
        <v>46550</v>
      </c>
    </row>
    <row r="13" spans="2:7" ht="24" customHeight="1">
      <c r="B13" s="2041"/>
      <c r="C13" s="890" t="s">
        <v>490</v>
      </c>
      <c r="D13" s="891">
        <f>投資額!$G$34</f>
        <v>2182950</v>
      </c>
      <c r="E13" s="2045"/>
      <c r="F13" s="2046"/>
      <c r="G13" s="870">
        <f t="shared" si="0"/>
        <v>1091475</v>
      </c>
    </row>
    <row r="14" spans="2:7" ht="24" customHeight="1" thickBot="1">
      <c r="B14" s="2042"/>
      <c r="C14" s="875" t="s">
        <v>1143</v>
      </c>
      <c r="D14" s="872">
        <f>SUM(D6:D12)</f>
        <v>40275550</v>
      </c>
      <c r="E14" s="2047"/>
      <c r="F14" s="2048"/>
      <c r="G14" s="876">
        <f>SUM(G6:G13)</f>
        <v>21229250</v>
      </c>
    </row>
    <row r="15" spans="2:7" ht="24" customHeight="1">
      <c r="B15" s="2037" t="s">
        <v>1150</v>
      </c>
      <c r="C15" s="873" t="s">
        <v>482</v>
      </c>
      <c r="D15" s="867">
        <f>投資額!AC52</f>
        <v>2611700</v>
      </c>
      <c r="E15" s="2049">
        <f>係数!S52</f>
        <v>0.46</v>
      </c>
      <c r="F15" s="2052">
        <v>0.5</v>
      </c>
      <c r="G15" s="868">
        <f>ROUND(D15*$E$15*$F$15,0)</f>
        <v>600691</v>
      </c>
    </row>
    <row r="16" spans="2:7" ht="24" customHeight="1">
      <c r="B16" s="2038"/>
      <c r="C16" s="874" t="s">
        <v>1141</v>
      </c>
      <c r="D16" s="869">
        <f>投資額!AD51</f>
        <v>30301600</v>
      </c>
      <c r="E16" s="2050"/>
      <c r="F16" s="2053"/>
      <c r="G16" s="870">
        <f>ROUND(D16*$E$15*$F$15,0)</f>
        <v>6969368</v>
      </c>
    </row>
    <row r="17" spans="2:7" ht="24" customHeight="1" thickBot="1">
      <c r="B17" s="2039"/>
      <c r="C17" s="881" t="s">
        <v>1143</v>
      </c>
      <c r="D17" s="882">
        <f>SUM(D15:D16)</f>
        <v>32913300</v>
      </c>
      <c r="E17" s="2051"/>
      <c r="F17" s="2054"/>
      <c r="G17" s="883">
        <f>SUM(G15:G16)</f>
        <v>7570059</v>
      </c>
    </row>
    <row r="18" spans="2:7" ht="24" customHeight="1" thickTop="1" thickBot="1">
      <c r="B18" s="2035" t="s">
        <v>1145</v>
      </c>
      <c r="C18" s="2036"/>
      <c r="D18" s="877">
        <f>D14+D17</f>
        <v>73188850</v>
      </c>
      <c r="E18" s="878"/>
      <c r="F18" s="879"/>
      <c r="G18" s="880">
        <f>G14+G17</f>
        <v>28799309</v>
      </c>
    </row>
    <row r="19" spans="2:7" ht="24" customHeight="1">
      <c r="B19" s="398"/>
    </row>
  </sheetData>
  <mergeCells count="8">
    <mergeCell ref="B3:G3"/>
    <mergeCell ref="B18:C18"/>
    <mergeCell ref="B15:B17"/>
    <mergeCell ref="B6:B14"/>
    <mergeCell ref="E6:F14"/>
    <mergeCell ref="E15:E17"/>
    <mergeCell ref="F15:F17"/>
    <mergeCell ref="E5:F5"/>
  </mergeCells>
  <phoneticPr fontId="22"/>
  <pageMargins left="0.75" right="0.75" top="1" bottom="1" header="0.51200000000000001" footer="0.51200000000000001"/>
  <pageSetup paperSize="9"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4">
    <tabColor indexed="50"/>
    <pageSetUpPr autoPageBreaks="0" fitToPage="1"/>
  </sheetPr>
  <dimension ref="B1:P43"/>
  <sheetViews>
    <sheetView showGridLines="0" zoomScale="85" zoomScaleNormal="85" workbookViewId="0"/>
  </sheetViews>
  <sheetFormatPr defaultColWidth="10.83203125" defaultRowHeight="14"/>
  <cols>
    <col min="1" max="1" width="10.83203125" style="398" customWidth="1"/>
    <col min="2" max="3" width="8.58203125" style="398" customWidth="1"/>
    <col min="4" max="4" width="11" style="398" customWidth="1"/>
    <col min="5" max="5" width="5.58203125" style="398" customWidth="1"/>
    <col min="6" max="15" width="9.75" style="398" customWidth="1"/>
    <col min="16" max="16384" width="10.83203125" style="398"/>
  </cols>
  <sheetData>
    <row r="1" spans="2:15" ht="24" customHeight="1"/>
    <row r="2" spans="2:15" ht="24" customHeight="1">
      <c r="B2" s="2025" t="s">
        <v>1002</v>
      </c>
      <c r="C2" s="2025"/>
      <c r="D2" s="2025"/>
      <c r="E2" s="2025"/>
      <c r="F2" s="2025"/>
      <c r="G2" s="2025"/>
      <c r="H2" s="2025"/>
      <c r="I2" s="2025"/>
      <c r="J2" s="2025"/>
      <c r="K2" s="2025"/>
      <c r="L2" s="2025"/>
      <c r="M2" s="2025"/>
      <c r="N2" s="2025"/>
      <c r="O2" s="2025"/>
    </row>
    <row r="3" spans="2:15" ht="24" customHeight="1" thickBot="1">
      <c r="N3" s="484"/>
      <c r="O3" s="507" t="s">
        <v>992</v>
      </c>
    </row>
    <row r="4" spans="2:15" ht="21" customHeight="1" thickTop="1" thickBot="1">
      <c r="B4" s="486"/>
      <c r="C4" s="487"/>
      <c r="D4" s="487"/>
      <c r="E4" s="487"/>
      <c r="F4" s="487" t="s">
        <v>968</v>
      </c>
      <c r="G4" s="487" t="s">
        <v>972</v>
      </c>
      <c r="H4" s="487" t="s">
        <v>961</v>
      </c>
      <c r="I4" s="487" t="s">
        <v>962</v>
      </c>
      <c r="J4" s="487" t="s">
        <v>963</v>
      </c>
      <c r="K4" s="487" t="s">
        <v>964</v>
      </c>
      <c r="L4" s="487" t="s">
        <v>965</v>
      </c>
      <c r="M4" s="487" t="s">
        <v>966</v>
      </c>
      <c r="N4" s="488" t="s">
        <v>967</v>
      </c>
      <c r="O4" s="489" t="s">
        <v>931</v>
      </c>
    </row>
    <row r="5" spans="2:15" ht="21" customHeight="1">
      <c r="B5" s="2026" t="s">
        <v>564</v>
      </c>
      <c r="C5" s="2064" t="s">
        <v>960</v>
      </c>
      <c r="D5" s="2065" t="s">
        <v>975</v>
      </c>
      <c r="E5" s="490" t="s">
        <v>970</v>
      </c>
      <c r="F5" s="632" t="str">
        <f>IF(投資額!J38=0,"－   ",投資額!J38)</f>
        <v xml:space="preserve">－   </v>
      </c>
      <c r="G5" s="632" t="str">
        <f>IF(投資額!K38=0,"－   ",投資額!K38)</f>
        <v xml:space="preserve">－   </v>
      </c>
      <c r="H5" s="632" t="str">
        <f>IF(投資額!L38=0,"－   ",投資額!L38)</f>
        <v xml:space="preserve">－   </v>
      </c>
      <c r="I5" s="632" t="str">
        <f>IF(投資額!M38=0,"－   ",投資額!M38)</f>
        <v xml:space="preserve">－   </v>
      </c>
      <c r="J5" s="632" t="str">
        <f>IF(投資額!N38=0,"－   ",投資額!N38)</f>
        <v xml:space="preserve">－   </v>
      </c>
      <c r="K5" s="632" t="str">
        <f>IF(投資額!O38=0,"－   ",投資額!O38)</f>
        <v xml:space="preserve">－   </v>
      </c>
      <c r="L5" s="632" t="str">
        <f>IF(投資額!P38=0,"－   ",投資額!P38)</f>
        <v xml:space="preserve">－   </v>
      </c>
      <c r="M5" s="632" t="str">
        <f>IF(投資額!Q38=0,"－   ",投資額!Q38)</f>
        <v xml:space="preserve">－   </v>
      </c>
      <c r="N5" s="632" t="str">
        <f>IF(投資額!R38=0,"－   ",投資額!R38)</f>
        <v xml:space="preserve">－   </v>
      </c>
      <c r="O5" s="642"/>
    </row>
    <row r="6" spans="2:15" ht="21" customHeight="1">
      <c r="B6" s="2027"/>
      <c r="C6" s="2061"/>
      <c r="D6" s="2060"/>
      <c r="E6" s="491" t="s">
        <v>976</v>
      </c>
      <c r="F6" s="645" t="str">
        <f>IF(投資額!J36=0,"－   ",投資額!J36)</f>
        <v xml:space="preserve">－   </v>
      </c>
      <c r="G6" s="645" t="str">
        <f>IF(投資額!K36=0,"－   ",投資額!K36)</f>
        <v xml:space="preserve">－   </v>
      </c>
      <c r="H6" s="645" t="str">
        <f>IF(投資額!L36=0,"－   ",投資額!L36)</f>
        <v xml:space="preserve">－   </v>
      </c>
      <c r="I6" s="645" t="str">
        <f>IF(投資額!M36=0,"－   ",投資額!M36)</f>
        <v xml:space="preserve">－   </v>
      </c>
      <c r="J6" s="645" t="str">
        <f>IF(投資額!N36=0,"－   ",投資額!N36)</f>
        <v xml:space="preserve">－   </v>
      </c>
      <c r="K6" s="645" t="str">
        <f>IF(投資額!O36=0,"－   ",投資額!O36)</f>
        <v xml:space="preserve">－   </v>
      </c>
      <c r="L6" s="645" t="str">
        <f>IF(投資額!P36=0,"－   ",投資額!P36)</f>
        <v xml:space="preserve">－   </v>
      </c>
      <c r="M6" s="645" t="str">
        <f>IF(投資額!Q36=0,"－   ",投資額!Q36)</f>
        <v xml:space="preserve">－   </v>
      </c>
      <c r="N6" s="645" t="str">
        <f>IF(投資額!R36=0,"－   ",投資額!R36)</f>
        <v xml:space="preserve">－   </v>
      </c>
      <c r="O6" s="646"/>
    </row>
    <row r="7" spans="2:15" ht="21" customHeight="1">
      <c r="B7" s="2027"/>
      <c r="C7" s="2061"/>
      <c r="D7" s="2057" t="s">
        <v>969</v>
      </c>
      <c r="E7" s="492" t="s">
        <v>970</v>
      </c>
      <c r="F7" s="647" t="str">
        <f>IF(F9="－   ","－   ",F9/F5)</f>
        <v xml:space="preserve">－   </v>
      </c>
      <c r="G7" s="647" t="str">
        <f t="shared" ref="G7:N7" si="0">IF(G9="－   ","－   ",G9/G5)</f>
        <v xml:space="preserve">－   </v>
      </c>
      <c r="H7" s="647" t="str">
        <f t="shared" si="0"/>
        <v xml:space="preserve">－   </v>
      </c>
      <c r="I7" s="647" t="str">
        <f t="shared" si="0"/>
        <v xml:space="preserve">－   </v>
      </c>
      <c r="J7" s="647" t="str">
        <f t="shared" si="0"/>
        <v xml:space="preserve">－   </v>
      </c>
      <c r="K7" s="647" t="str">
        <f t="shared" si="0"/>
        <v xml:space="preserve">－   </v>
      </c>
      <c r="L7" s="647" t="str">
        <f t="shared" si="0"/>
        <v xml:space="preserve">－   </v>
      </c>
      <c r="M7" s="647" t="str">
        <f t="shared" si="0"/>
        <v xml:space="preserve">－   </v>
      </c>
      <c r="N7" s="647" t="str">
        <f t="shared" si="0"/>
        <v xml:space="preserve">－   </v>
      </c>
      <c r="O7" s="648" t="str">
        <f>IF(SUM(F7:N7)=0,"－   ",SUM(F7:N7))</f>
        <v xml:space="preserve">－   </v>
      </c>
    </row>
    <row r="8" spans="2:15" ht="21" customHeight="1">
      <c r="B8" s="2027"/>
      <c r="C8" s="2061"/>
      <c r="D8" s="2058"/>
      <c r="E8" s="491" t="s">
        <v>977</v>
      </c>
      <c r="F8" s="645" t="str">
        <f>IF(F10="－   ","－   ",F10/F6)</f>
        <v xml:space="preserve">－   </v>
      </c>
      <c r="G8" s="645" t="str">
        <f t="shared" ref="G8:N8" si="1">IF(G10="－   ","－   ",G10/G6)</f>
        <v xml:space="preserve">－   </v>
      </c>
      <c r="H8" s="645" t="str">
        <f t="shared" si="1"/>
        <v xml:space="preserve">－   </v>
      </c>
      <c r="I8" s="645" t="str">
        <f t="shared" si="1"/>
        <v xml:space="preserve">－   </v>
      </c>
      <c r="J8" s="645" t="str">
        <f t="shared" si="1"/>
        <v xml:space="preserve">－   </v>
      </c>
      <c r="K8" s="645" t="str">
        <f t="shared" si="1"/>
        <v xml:space="preserve">－   </v>
      </c>
      <c r="L8" s="645" t="str">
        <f t="shared" si="1"/>
        <v xml:space="preserve">－   </v>
      </c>
      <c r="M8" s="645" t="str">
        <f t="shared" si="1"/>
        <v xml:space="preserve">－   </v>
      </c>
      <c r="N8" s="645" t="str">
        <f t="shared" si="1"/>
        <v xml:space="preserve">－   </v>
      </c>
      <c r="O8" s="649" t="str">
        <f>IF(SUM(F8:N8)=0,"－   ",SUM(F8:N8))</f>
        <v xml:space="preserve">－   </v>
      </c>
    </row>
    <row r="9" spans="2:15" ht="21" customHeight="1">
      <c r="B9" s="2027"/>
      <c r="C9" s="2061"/>
      <c r="D9" s="2057" t="s">
        <v>932</v>
      </c>
      <c r="E9" s="492" t="s">
        <v>970</v>
      </c>
      <c r="F9" s="647" t="str">
        <f>IF(投資額!T38=0,"－   ",投資額!T38)</f>
        <v xml:space="preserve">－   </v>
      </c>
      <c r="G9" s="647" t="str">
        <f>IF(投資額!U38=0,"－   ",投資額!U38)</f>
        <v xml:space="preserve">－   </v>
      </c>
      <c r="H9" s="647" t="str">
        <f>IF(投資額!V38=0,"－   ",投資額!V38)</f>
        <v xml:space="preserve">－   </v>
      </c>
      <c r="I9" s="647" t="str">
        <f>IF(投資額!W38=0,"－   ",投資額!W38)</f>
        <v xml:space="preserve">－   </v>
      </c>
      <c r="J9" s="647" t="str">
        <f>IF(投資額!X38=0,"－   ",投資額!X38)</f>
        <v xml:space="preserve">－   </v>
      </c>
      <c r="K9" s="647" t="str">
        <f>IF(投資額!Y38=0,"－   ",投資額!Y38)</f>
        <v xml:space="preserve">－   </v>
      </c>
      <c r="L9" s="647" t="str">
        <f>IF(投資額!Z38=0,"－   ",投資額!Z38)</f>
        <v xml:space="preserve">－   </v>
      </c>
      <c r="M9" s="647" t="str">
        <f>IF(投資額!AA38=0,"－   ",投資額!AA38)</f>
        <v xml:space="preserve">－   </v>
      </c>
      <c r="N9" s="647" t="str">
        <f>IF(投資額!AB38=0,"－   ",投資額!AB38)</f>
        <v xml:space="preserve">－   </v>
      </c>
      <c r="O9" s="648" t="str">
        <f>IF(SUM(F9:N9)=0,"－   ",SUM(F9:N9))</f>
        <v xml:space="preserve">－   </v>
      </c>
    </row>
    <row r="10" spans="2:15" ht="21" customHeight="1">
      <c r="B10" s="2027"/>
      <c r="C10" s="2058"/>
      <c r="D10" s="2058"/>
      <c r="E10" s="491" t="s">
        <v>978</v>
      </c>
      <c r="F10" s="645" t="str">
        <f>IF(投資額!T36=0,"－   ",投資額!T36)</f>
        <v xml:space="preserve">－   </v>
      </c>
      <c r="G10" s="645" t="str">
        <f>IF(投資額!U36=0,"－   ",投資額!U36)</f>
        <v xml:space="preserve">－   </v>
      </c>
      <c r="H10" s="645" t="str">
        <f>IF(投資額!V36=0,"－   ",投資額!V36)</f>
        <v xml:space="preserve">－   </v>
      </c>
      <c r="I10" s="645" t="str">
        <f>IF(投資額!W36=0,"－   ",投資額!W36)</f>
        <v xml:space="preserve">－   </v>
      </c>
      <c r="J10" s="645" t="str">
        <f>IF(投資額!X36=0,"－   ",投資額!X36)</f>
        <v xml:space="preserve">－   </v>
      </c>
      <c r="K10" s="645" t="str">
        <f>IF(投資額!Y36=0,"－   ",投資額!Y36)</f>
        <v xml:space="preserve">－   </v>
      </c>
      <c r="L10" s="645" t="str">
        <f>IF(投資額!Z36=0,"－   ",投資額!Z36)</f>
        <v xml:space="preserve">－   </v>
      </c>
      <c r="M10" s="645" t="str">
        <f>IF(投資額!AA36=0,"－   ",投資額!AA36)</f>
        <v xml:space="preserve">－   </v>
      </c>
      <c r="N10" s="645" t="str">
        <f>IF(投資額!AB36=0,"－   ",投資額!AB36)</f>
        <v xml:space="preserve">－   </v>
      </c>
      <c r="O10" s="649" t="str">
        <f>IF(SUM(F10:N10)=0,"－   ",SUM(F10:N10))</f>
        <v xml:space="preserve">－   </v>
      </c>
    </row>
    <row r="11" spans="2:15" ht="21" customHeight="1">
      <c r="B11" s="2027"/>
      <c r="C11" s="2057" t="s">
        <v>517</v>
      </c>
      <c r="D11" s="2059" t="s">
        <v>979</v>
      </c>
      <c r="E11" s="492" t="s">
        <v>970</v>
      </c>
      <c r="F11" s="647" t="str">
        <f>IF(投資額!J28=0,"－   ",投資額!J28)</f>
        <v xml:space="preserve">－   </v>
      </c>
      <c r="G11" s="647" t="str">
        <f>IF(投資額!K28=0,"－   ",投資額!K28)</f>
        <v xml:space="preserve">－   </v>
      </c>
      <c r="H11" s="647" t="str">
        <f>IF(投資額!L28=0,"－   ",投資額!L28)</f>
        <v xml:space="preserve">－   </v>
      </c>
      <c r="I11" s="647" t="str">
        <f>IF(投資額!M28=0,"－   ",投資額!M28)</f>
        <v xml:space="preserve">－   </v>
      </c>
      <c r="J11" s="647" t="str">
        <f>IF(投資額!N28=0,"－   ",投資額!N28)</f>
        <v xml:space="preserve">－   </v>
      </c>
      <c r="K11" s="647" t="str">
        <f>IF(投資額!O28=0,"－   ",投資額!O28)</f>
        <v xml:space="preserve">－   </v>
      </c>
      <c r="L11" s="647" t="str">
        <f>IF(投資額!P28=0,"－   ",投資額!P28)</f>
        <v xml:space="preserve">－   </v>
      </c>
      <c r="M11" s="647" t="str">
        <f>IF(投資額!Q28=0,"－   ",投資額!Q28)</f>
        <v xml:space="preserve">－   </v>
      </c>
      <c r="N11" s="647" t="str">
        <f>IF(投資額!R28=0,"－   ",投資額!R28)</f>
        <v xml:space="preserve">－   </v>
      </c>
      <c r="O11" s="650"/>
    </row>
    <row r="12" spans="2:15" ht="21" customHeight="1">
      <c r="B12" s="2027"/>
      <c r="C12" s="2061"/>
      <c r="D12" s="2060"/>
      <c r="E12" s="491" t="s">
        <v>977</v>
      </c>
      <c r="F12" s="645" t="str">
        <f>IF(投資額!J29=0,"－   ",投資額!J29)</f>
        <v xml:space="preserve">－   </v>
      </c>
      <c r="G12" s="645" t="str">
        <f>IF(投資額!K29=0,"－   ",投資額!K29)</f>
        <v xml:space="preserve">－   </v>
      </c>
      <c r="H12" s="645" t="str">
        <f>IF(投資額!L29=0,"－   ",投資額!L29)</f>
        <v xml:space="preserve">－   </v>
      </c>
      <c r="I12" s="645" t="str">
        <f>IF(投資額!M29=0,"－   ",投資額!M29)</f>
        <v xml:space="preserve">－   </v>
      </c>
      <c r="J12" s="645" t="str">
        <f>IF(投資額!N29=0,"－   ",投資額!N29)</f>
        <v xml:space="preserve">－   </v>
      </c>
      <c r="K12" s="645" t="str">
        <f>IF(投資額!O29=0,"－   ",投資額!O29)</f>
        <v xml:space="preserve">－   </v>
      </c>
      <c r="L12" s="645" t="str">
        <f>IF(投資額!P29=0,"－   ",投資額!P29)</f>
        <v xml:space="preserve">－   </v>
      </c>
      <c r="M12" s="645" t="str">
        <f>IF(投資額!Q29=0,"－   ",投資額!Q29)</f>
        <v xml:space="preserve">－   </v>
      </c>
      <c r="N12" s="645" t="str">
        <f>IF(投資額!R29=0,"－   ",投資額!R29)</f>
        <v xml:space="preserve">－   </v>
      </c>
      <c r="O12" s="646"/>
    </row>
    <row r="13" spans="2:15" ht="21" customHeight="1">
      <c r="B13" s="2027"/>
      <c r="C13" s="2061"/>
      <c r="D13" s="2057" t="s">
        <v>969</v>
      </c>
      <c r="E13" s="492" t="s">
        <v>970</v>
      </c>
      <c r="F13" s="647" t="str">
        <f>IF(F15="－   ","－   ",F15/F11)</f>
        <v xml:space="preserve">－   </v>
      </c>
      <c r="G13" s="647" t="str">
        <f t="shared" ref="G13:N13" si="2">IF(G15="－   ","－   ",G15/G11)</f>
        <v xml:space="preserve">－   </v>
      </c>
      <c r="H13" s="647" t="str">
        <f t="shared" si="2"/>
        <v xml:space="preserve">－   </v>
      </c>
      <c r="I13" s="647" t="str">
        <f t="shared" si="2"/>
        <v xml:space="preserve">－   </v>
      </c>
      <c r="J13" s="647" t="str">
        <f t="shared" si="2"/>
        <v xml:space="preserve">－   </v>
      </c>
      <c r="K13" s="647" t="str">
        <f t="shared" si="2"/>
        <v xml:space="preserve">－   </v>
      </c>
      <c r="L13" s="647" t="str">
        <f t="shared" si="2"/>
        <v xml:space="preserve">－   </v>
      </c>
      <c r="M13" s="647" t="str">
        <f t="shared" si="2"/>
        <v xml:space="preserve">－   </v>
      </c>
      <c r="N13" s="647" t="str">
        <f t="shared" si="2"/>
        <v xml:space="preserve">－   </v>
      </c>
      <c r="O13" s="648" t="str">
        <f>IF(SUM(F13:N13)=0,"－   ",SUM(F13:N13))</f>
        <v xml:space="preserve">－   </v>
      </c>
    </row>
    <row r="14" spans="2:15" ht="21" customHeight="1">
      <c r="B14" s="2027"/>
      <c r="C14" s="2061"/>
      <c r="D14" s="2058"/>
      <c r="E14" s="491" t="s">
        <v>977</v>
      </c>
      <c r="F14" s="645" t="str">
        <f>IF(F16="－   ","－   ",F16/F12)</f>
        <v xml:space="preserve">－   </v>
      </c>
      <c r="G14" s="645" t="str">
        <f t="shared" ref="G14:N14" si="3">IF(G16="－   ","－   ",G16/G12)</f>
        <v xml:space="preserve">－   </v>
      </c>
      <c r="H14" s="645" t="str">
        <f t="shared" si="3"/>
        <v xml:space="preserve">－   </v>
      </c>
      <c r="I14" s="645" t="str">
        <f t="shared" si="3"/>
        <v xml:space="preserve">－   </v>
      </c>
      <c r="J14" s="645" t="str">
        <f t="shared" si="3"/>
        <v xml:space="preserve">－   </v>
      </c>
      <c r="K14" s="645" t="str">
        <f t="shared" si="3"/>
        <v xml:space="preserve">－   </v>
      </c>
      <c r="L14" s="645" t="str">
        <f t="shared" si="3"/>
        <v xml:space="preserve">－   </v>
      </c>
      <c r="M14" s="645" t="str">
        <f t="shared" si="3"/>
        <v xml:space="preserve">－   </v>
      </c>
      <c r="N14" s="645" t="str">
        <f t="shared" si="3"/>
        <v xml:space="preserve">－   </v>
      </c>
      <c r="O14" s="649" t="str">
        <f>IF(SUM(F14:N14)=0,"－   ",SUM(F14:N14))</f>
        <v xml:space="preserve">－   </v>
      </c>
    </row>
    <row r="15" spans="2:15" ht="21" customHeight="1">
      <c r="B15" s="2027"/>
      <c r="C15" s="2061"/>
      <c r="D15" s="2057" t="s">
        <v>932</v>
      </c>
      <c r="E15" s="492" t="s">
        <v>970</v>
      </c>
      <c r="F15" s="647" t="str">
        <f>IF(投資額!T28=0,"－   ",投資額!T28)</f>
        <v xml:space="preserve">－   </v>
      </c>
      <c r="G15" s="647" t="str">
        <f>IF(投資額!U28=0,"－   ",投資額!U28)</f>
        <v xml:space="preserve">－   </v>
      </c>
      <c r="H15" s="647" t="str">
        <f>IF(投資額!V28=0,"－   ",投資額!V28)</f>
        <v xml:space="preserve">－   </v>
      </c>
      <c r="I15" s="647" t="str">
        <f>IF(投資額!W28=0,"－   ",投資額!W28)</f>
        <v xml:space="preserve">－   </v>
      </c>
      <c r="J15" s="647" t="str">
        <f>IF(投資額!X28=0,"－   ",投資額!X28)</f>
        <v xml:space="preserve">－   </v>
      </c>
      <c r="K15" s="647" t="str">
        <f>IF(投資額!Y28=0,"－   ",投資額!Y28)</f>
        <v xml:space="preserve">－   </v>
      </c>
      <c r="L15" s="647" t="str">
        <f>IF(投資額!Z28=0,"－   ",投資額!Z28)</f>
        <v xml:space="preserve">－   </v>
      </c>
      <c r="M15" s="647" t="str">
        <f>IF(投資額!AA28=0,"－   ",投資額!AA28)</f>
        <v xml:space="preserve">－   </v>
      </c>
      <c r="N15" s="647" t="str">
        <f>IF(投資額!AB28=0,"－   ",投資額!AB28)</f>
        <v xml:space="preserve">－   </v>
      </c>
      <c r="O15" s="648" t="str">
        <f>IF(SUM(F15:N15)=0,"－   ",SUM(F15:N15))</f>
        <v xml:space="preserve">－   </v>
      </c>
    </row>
    <row r="16" spans="2:15" ht="21" customHeight="1" thickBot="1">
      <c r="B16" s="2066"/>
      <c r="C16" s="2063"/>
      <c r="D16" s="2063"/>
      <c r="E16" s="493" t="s">
        <v>977</v>
      </c>
      <c r="F16" s="651" t="str">
        <f>IF(投資額!T29=0,"－   ",投資額!T29)</f>
        <v xml:space="preserve">－   </v>
      </c>
      <c r="G16" s="651" t="str">
        <f>IF(投資額!U29=0,"－   ",投資額!U29)</f>
        <v xml:space="preserve">－   </v>
      </c>
      <c r="H16" s="651" t="str">
        <f>IF(投資額!V29=0,"－   ",投資額!V29)</f>
        <v xml:space="preserve">－   </v>
      </c>
      <c r="I16" s="651" t="str">
        <f>IF(投資額!W29=0,"－   ",投資額!W29)</f>
        <v xml:space="preserve">－   </v>
      </c>
      <c r="J16" s="651" t="str">
        <f>IF(投資額!X29=0,"－   ",投資額!X29)</f>
        <v xml:space="preserve">－   </v>
      </c>
      <c r="K16" s="651" t="str">
        <f>IF(投資額!Y29=0,"－   ",投資額!Y29)</f>
        <v xml:space="preserve">－   </v>
      </c>
      <c r="L16" s="651" t="str">
        <f>IF(投資額!Z29=0,"－   ",投資額!Z29)</f>
        <v xml:space="preserve">－   </v>
      </c>
      <c r="M16" s="651" t="str">
        <f>IF(投資額!AA29=0,"－   ",投資額!AA29)</f>
        <v xml:space="preserve">－   </v>
      </c>
      <c r="N16" s="651" t="str">
        <f>IF(投資額!AB29=0,"－   ",投資額!AB29)</f>
        <v xml:space="preserve">－   </v>
      </c>
      <c r="O16" s="649" t="str">
        <f>IF(SUM(F16:N16)=0,"－   ",SUM(F16:N16))</f>
        <v xml:space="preserve">－   </v>
      </c>
    </row>
    <row r="17" spans="2:16" ht="21" customHeight="1">
      <c r="B17" s="2026" t="s">
        <v>565</v>
      </c>
      <c r="C17" s="2064" t="s">
        <v>960</v>
      </c>
      <c r="D17" s="2065" t="s">
        <v>975</v>
      </c>
      <c r="E17" s="490" t="s">
        <v>970</v>
      </c>
      <c r="F17" s="652" t="str">
        <f>IF(投資額!J39=0,"－   ",投資額!J39)</f>
        <v xml:space="preserve">－   </v>
      </c>
      <c r="G17" s="652" t="str">
        <f>IF(投資額!K39=0,"－   ",投資額!K39)</f>
        <v xml:space="preserve">－   </v>
      </c>
      <c r="H17" s="652" t="str">
        <f>IF(投資額!L39=0,"－   ",投資額!L39)</f>
        <v xml:space="preserve">－   </v>
      </c>
      <c r="I17" s="652" t="str">
        <f>IF(投資額!M39=0,"－   ",投資額!M39)</f>
        <v xml:space="preserve">－   </v>
      </c>
      <c r="J17" s="652" t="str">
        <f>IF(投資額!N39=0,"－   ",投資額!N39)</f>
        <v xml:space="preserve">－   </v>
      </c>
      <c r="K17" s="652" t="str">
        <f>IF(投資額!O39=0,"－   ",投資額!O39)</f>
        <v xml:space="preserve">－   </v>
      </c>
      <c r="L17" s="652" t="str">
        <f>IF(投資額!P39=0,"－   ",投資額!P39)</f>
        <v xml:space="preserve">－   </v>
      </c>
      <c r="M17" s="652" t="str">
        <f>IF(投資額!Q39=0,"－   ",投資額!Q39)</f>
        <v xml:space="preserve">－   </v>
      </c>
      <c r="N17" s="652" t="str">
        <f>IF(投資額!R39=0,"－   ",投資額!R39)</f>
        <v xml:space="preserve">－   </v>
      </c>
      <c r="O17" s="653"/>
    </row>
    <row r="18" spans="2:16" ht="21" customHeight="1">
      <c r="B18" s="2027"/>
      <c r="C18" s="2061"/>
      <c r="D18" s="2060"/>
      <c r="E18" s="491" t="s">
        <v>980</v>
      </c>
      <c r="F18" s="645" t="str">
        <f>IF(投資額!J37=0,"－   ",投資額!J37)</f>
        <v xml:space="preserve">－   </v>
      </c>
      <c r="G18" s="645" t="str">
        <f>IF(投資額!K37=0,"－   ",投資額!K37)</f>
        <v xml:space="preserve">－   </v>
      </c>
      <c r="H18" s="645" t="str">
        <f>IF(投資額!L37=0,"－   ",投資額!L37)</f>
        <v xml:space="preserve">－   </v>
      </c>
      <c r="I18" s="645" t="str">
        <f>IF(投資額!M37=0,"－   ",投資額!M37)</f>
        <v xml:space="preserve">－   </v>
      </c>
      <c r="J18" s="645" t="str">
        <f>IF(投資額!N37=0,"－   ",投資額!N37)</f>
        <v xml:space="preserve">－   </v>
      </c>
      <c r="K18" s="645" t="str">
        <f>IF(投資額!O37=0,"－   ",投資額!O37)</f>
        <v xml:space="preserve">－   </v>
      </c>
      <c r="L18" s="645" t="str">
        <f>IF(投資額!P37=0,"－   ",投資額!P37)</f>
        <v xml:space="preserve">－   </v>
      </c>
      <c r="M18" s="645" t="str">
        <f>IF(投資額!Q37=0,"－   ",投資額!Q37)</f>
        <v xml:space="preserve">－   </v>
      </c>
      <c r="N18" s="645" t="str">
        <f>IF(投資額!R37=0,"－   ",投資額!R37)</f>
        <v xml:space="preserve">－   </v>
      </c>
      <c r="O18" s="646"/>
    </row>
    <row r="19" spans="2:16" ht="21" customHeight="1">
      <c r="B19" s="2027"/>
      <c r="C19" s="2061"/>
      <c r="D19" s="2057" t="s">
        <v>969</v>
      </c>
      <c r="E19" s="492" t="s">
        <v>970</v>
      </c>
      <c r="F19" s="647" t="str">
        <f t="shared" ref="F19:N19" si="4">IF(F21="－   ","－   ",F21/F17)</f>
        <v xml:space="preserve">－   </v>
      </c>
      <c r="G19" s="647" t="str">
        <f t="shared" si="4"/>
        <v xml:space="preserve">－   </v>
      </c>
      <c r="H19" s="647" t="str">
        <f t="shared" si="4"/>
        <v xml:space="preserve">－   </v>
      </c>
      <c r="I19" s="647" t="str">
        <f t="shared" si="4"/>
        <v xml:space="preserve">－   </v>
      </c>
      <c r="J19" s="647" t="str">
        <f t="shared" si="4"/>
        <v xml:space="preserve">－   </v>
      </c>
      <c r="K19" s="647" t="str">
        <f t="shared" si="4"/>
        <v xml:space="preserve">－   </v>
      </c>
      <c r="L19" s="647" t="str">
        <f t="shared" si="4"/>
        <v xml:space="preserve">－   </v>
      </c>
      <c r="M19" s="647" t="str">
        <f t="shared" si="4"/>
        <v xml:space="preserve">－   </v>
      </c>
      <c r="N19" s="647" t="str">
        <f t="shared" si="4"/>
        <v xml:space="preserve">－   </v>
      </c>
      <c r="O19" s="648" t="str">
        <f>IF(SUM(F19:N19)=0,"－   ",SUM(F19:N19))</f>
        <v xml:space="preserve">－   </v>
      </c>
    </row>
    <row r="20" spans="2:16" ht="21" customHeight="1">
      <c r="B20" s="2027"/>
      <c r="C20" s="2061"/>
      <c r="D20" s="2058"/>
      <c r="E20" s="491" t="s">
        <v>980</v>
      </c>
      <c r="F20" s="645" t="str">
        <f>IF(F22="－   ","－   ",F22/F18)</f>
        <v xml:space="preserve">－   </v>
      </c>
      <c r="G20" s="645" t="str">
        <f t="shared" ref="G20:N20" si="5">IF(G22="－   ","－   ",G22/G18)</f>
        <v xml:space="preserve">－   </v>
      </c>
      <c r="H20" s="645" t="str">
        <f t="shared" si="5"/>
        <v xml:space="preserve">－   </v>
      </c>
      <c r="I20" s="645" t="str">
        <f t="shared" si="5"/>
        <v xml:space="preserve">－   </v>
      </c>
      <c r="J20" s="645" t="str">
        <f t="shared" si="5"/>
        <v xml:space="preserve">－   </v>
      </c>
      <c r="K20" s="645" t="str">
        <f t="shared" si="5"/>
        <v xml:space="preserve">－   </v>
      </c>
      <c r="L20" s="645" t="str">
        <f t="shared" si="5"/>
        <v xml:space="preserve">－   </v>
      </c>
      <c r="M20" s="645" t="str">
        <f t="shared" si="5"/>
        <v xml:space="preserve">－   </v>
      </c>
      <c r="N20" s="645" t="str">
        <f t="shared" si="5"/>
        <v xml:space="preserve">－   </v>
      </c>
      <c r="O20" s="649" t="str">
        <f>IF(SUM(F20:N20)=0,"－   ",SUM(F20:N20))</f>
        <v xml:space="preserve">－   </v>
      </c>
    </row>
    <row r="21" spans="2:16" ht="21" customHeight="1">
      <c r="B21" s="2027"/>
      <c r="C21" s="2061"/>
      <c r="D21" s="2057" t="s">
        <v>932</v>
      </c>
      <c r="E21" s="492" t="s">
        <v>970</v>
      </c>
      <c r="F21" s="647" t="str">
        <f>IF(投資額!T39=0,"－   ",投資額!T39)</f>
        <v xml:space="preserve">－   </v>
      </c>
      <c r="G21" s="647" t="str">
        <f>IF(投資額!U39=0,"－   ",投資額!U39)</f>
        <v xml:space="preserve">－   </v>
      </c>
      <c r="H21" s="647" t="str">
        <f>IF(投資額!V39=0,"－   ",投資額!V39)</f>
        <v xml:space="preserve">－   </v>
      </c>
      <c r="I21" s="647" t="str">
        <f>IF(投資額!W39=0,"－   ",投資額!W39)</f>
        <v xml:space="preserve">－   </v>
      </c>
      <c r="J21" s="647" t="str">
        <f>IF(投資額!X39=0,"－   ",投資額!X39)</f>
        <v xml:space="preserve">－   </v>
      </c>
      <c r="K21" s="647" t="str">
        <f>IF(投資額!Y39=0,"－   ",投資額!Y39)</f>
        <v xml:space="preserve">－   </v>
      </c>
      <c r="L21" s="647" t="str">
        <f>IF(投資額!Z39=0,"－   ",投資額!Z39)</f>
        <v xml:space="preserve">－   </v>
      </c>
      <c r="M21" s="647" t="str">
        <f>IF(投資額!AA39=0,"－   ",投資額!AA39)</f>
        <v xml:space="preserve">－   </v>
      </c>
      <c r="N21" s="647" t="str">
        <f>IF(投資額!AB39=0,"－   ",投資額!AB39)</f>
        <v xml:space="preserve">－   </v>
      </c>
      <c r="O21" s="648" t="str">
        <f>IF(SUM(F21:N21)=0,"－   ",SUM(F21:N21))</f>
        <v xml:space="preserve">－   </v>
      </c>
    </row>
    <row r="22" spans="2:16" ht="21" customHeight="1">
      <c r="B22" s="2027"/>
      <c r="C22" s="2058"/>
      <c r="D22" s="2058"/>
      <c r="E22" s="491" t="s">
        <v>980</v>
      </c>
      <c r="F22" s="645" t="str">
        <f>IF(投資額!T37=0,"－   ",投資額!T37)</f>
        <v xml:space="preserve">－   </v>
      </c>
      <c r="G22" s="645" t="str">
        <f>IF(投資額!U37=0,"－   ",投資額!U37)</f>
        <v xml:space="preserve">－   </v>
      </c>
      <c r="H22" s="645" t="str">
        <f>IF(投資額!V37=0,"－   ",投資額!V37)</f>
        <v xml:space="preserve">－   </v>
      </c>
      <c r="I22" s="645" t="str">
        <f>IF(投資額!W37=0,"－   ",投資額!W37)</f>
        <v xml:space="preserve">－   </v>
      </c>
      <c r="J22" s="645" t="str">
        <f>IF(投資額!X37=0,"－   ",投資額!X37)</f>
        <v xml:space="preserve">－   </v>
      </c>
      <c r="K22" s="645" t="str">
        <f>IF(投資額!Y37=0,"－   ",投資額!Y37)</f>
        <v xml:space="preserve">－   </v>
      </c>
      <c r="L22" s="645" t="str">
        <f>IF(投資額!Z37=0,"－   ",投資額!Z37)</f>
        <v xml:space="preserve">－   </v>
      </c>
      <c r="M22" s="645" t="str">
        <f>IF(投資額!AA37=0,"－   ",投資額!AA37)</f>
        <v xml:space="preserve">－   </v>
      </c>
      <c r="N22" s="645" t="str">
        <f>IF(投資額!AB37=0,"－   ",投資額!AB37)</f>
        <v xml:space="preserve">－   </v>
      </c>
      <c r="O22" s="649" t="str">
        <f>IF(SUM(F22:N22)=0,"－   ",SUM(F22:N22))</f>
        <v xml:space="preserve">－   </v>
      </c>
    </row>
    <row r="23" spans="2:16" ht="21" customHeight="1">
      <c r="B23" s="2027"/>
      <c r="C23" s="2057" t="s">
        <v>517</v>
      </c>
      <c r="D23" s="2059" t="s">
        <v>979</v>
      </c>
      <c r="E23" s="492" t="s">
        <v>970</v>
      </c>
      <c r="F23" s="647" t="str">
        <f>IF(投資額!J30=0,"－   ",投資額!J30)</f>
        <v xml:space="preserve">－   </v>
      </c>
      <c r="G23" s="647" t="str">
        <f>IF(投資額!K30=0,"－   ",投資額!K30)</f>
        <v xml:space="preserve">－   </v>
      </c>
      <c r="H23" s="647" t="str">
        <f>IF(投資額!L30=0,"－   ",投資額!L30)</f>
        <v xml:space="preserve">－   </v>
      </c>
      <c r="I23" s="647" t="str">
        <f>IF(投資額!M30=0,"－   ",投資額!M30)</f>
        <v xml:space="preserve">－   </v>
      </c>
      <c r="J23" s="647" t="str">
        <f>IF(投資額!N30=0,"－   ",投資額!N30)</f>
        <v xml:space="preserve">－   </v>
      </c>
      <c r="K23" s="647" t="str">
        <f>IF(投資額!O30=0,"－   ",投資額!O30)</f>
        <v xml:space="preserve">－   </v>
      </c>
      <c r="L23" s="647" t="str">
        <f>IF(投資額!P30=0,"－   ",投資額!P30)</f>
        <v xml:space="preserve">－   </v>
      </c>
      <c r="M23" s="647" t="str">
        <f>IF(投資額!Q30=0,"－   ",投資額!Q30)</f>
        <v xml:space="preserve">－   </v>
      </c>
      <c r="N23" s="647" t="str">
        <f>IF(投資額!R30=0,"－   ",投資額!R30)</f>
        <v xml:space="preserve">－   </v>
      </c>
      <c r="O23" s="650"/>
    </row>
    <row r="24" spans="2:16" ht="21" customHeight="1">
      <c r="B24" s="2027"/>
      <c r="C24" s="2061"/>
      <c r="D24" s="2060"/>
      <c r="E24" s="491" t="s">
        <v>980</v>
      </c>
      <c r="F24" s="645">
        <f>IF(投資額!J31=0,"－   ",投資額!J31)</f>
        <v>123680</v>
      </c>
      <c r="G24" s="645" t="str">
        <f>IF(投資額!K31=0,"－   ",投資額!K31)</f>
        <v xml:space="preserve">－   </v>
      </c>
      <c r="H24" s="645" t="str">
        <f>IF(投資額!L31=0,"－   ",投資額!L31)</f>
        <v xml:space="preserve">－   </v>
      </c>
      <c r="I24" s="645" t="str">
        <f>IF(投資額!M31=0,"－   ",投資額!M31)</f>
        <v xml:space="preserve">－   </v>
      </c>
      <c r="J24" s="645" t="str">
        <f>IF(投資額!N31=0,"－   ",投資額!N31)</f>
        <v xml:space="preserve">－   </v>
      </c>
      <c r="K24" s="645" t="str">
        <f>IF(投資額!O31=0,"－   ",投資額!O31)</f>
        <v xml:space="preserve">－   </v>
      </c>
      <c r="L24" s="645" t="str">
        <f>IF(投資額!P31=0,"－   ",投資額!P31)</f>
        <v xml:space="preserve">－   </v>
      </c>
      <c r="M24" s="645" t="str">
        <f>IF(投資額!Q31=0,"－   ",投資額!Q31)</f>
        <v xml:space="preserve">－   </v>
      </c>
      <c r="N24" s="645" t="str">
        <f>IF(投資額!R31=0,"－   ",投資額!R31)</f>
        <v xml:space="preserve">－   </v>
      </c>
      <c r="O24" s="646"/>
    </row>
    <row r="25" spans="2:16" ht="21" customHeight="1">
      <c r="B25" s="2027"/>
      <c r="C25" s="2061"/>
      <c r="D25" s="2057" t="s">
        <v>969</v>
      </c>
      <c r="E25" s="492" t="s">
        <v>970</v>
      </c>
      <c r="F25" s="647" t="str">
        <f t="shared" ref="F25:N25" si="6">IF(F27="－   ","－   ",F27/F23)</f>
        <v xml:space="preserve">－   </v>
      </c>
      <c r="G25" s="647" t="str">
        <f t="shared" si="6"/>
        <v xml:space="preserve">－   </v>
      </c>
      <c r="H25" s="647" t="str">
        <f t="shared" si="6"/>
        <v xml:space="preserve">－   </v>
      </c>
      <c r="I25" s="647" t="str">
        <f t="shared" si="6"/>
        <v xml:space="preserve">－   </v>
      </c>
      <c r="J25" s="647" t="str">
        <f t="shared" si="6"/>
        <v xml:space="preserve">－   </v>
      </c>
      <c r="K25" s="647" t="str">
        <f t="shared" si="6"/>
        <v xml:space="preserve">－   </v>
      </c>
      <c r="L25" s="647" t="str">
        <f t="shared" si="6"/>
        <v xml:space="preserve">－   </v>
      </c>
      <c r="M25" s="647" t="str">
        <f t="shared" si="6"/>
        <v xml:space="preserve">－   </v>
      </c>
      <c r="N25" s="647" t="str">
        <f t="shared" si="6"/>
        <v xml:space="preserve">－   </v>
      </c>
      <c r="O25" s="648" t="str">
        <f>IF(SUM(F25:N25)=0,"－   ",SUM(F25:N25))</f>
        <v xml:space="preserve">－   </v>
      </c>
    </row>
    <row r="26" spans="2:16" ht="21" customHeight="1">
      <c r="B26" s="2027"/>
      <c r="C26" s="2061"/>
      <c r="D26" s="2058"/>
      <c r="E26" s="491" t="s">
        <v>980</v>
      </c>
      <c r="F26" s="645">
        <f t="shared" ref="F26:N26" si="7">IF(F28="－   ","－   ",F28/F24)</f>
        <v>245</v>
      </c>
      <c r="G26" s="645" t="str">
        <f t="shared" si="7"/>
        <v xml:space="preserve">－   </v>
      </c>
      <c r="H26" s="645" t="str">
        <f t="shared" si="7"/>
        <v xml:space="preserve">－   </v>
      </c>
      <c r="I26" s="645" t="str">
        <f t="shared" si="7"/>
        <v xml:space="preserve">－   </v>
      </c>
      <c r="J26" s="645" t="str">
        <f t="shared" si="7"/>
        <v xml:space="preserve">－   </v>
      </c>
      <c r="K26" s="645" t="str">
        <f t="shared" si="7"/>
        <v xml:space="preserve">－   </v>
      </c>
      <c r="L26" s="645" t="str">
        <f t="shared" si="7"/>
        <v xml:space="preserve">－   </v>
      </c>
      <c r="M26" s="645" t="str">
        <f t="shared" si="7"/>
        <v xml:space="preserve">－   </v>
      </c>
      <c r="N26" s="645" t="str">
        <f t="shared" si="7"/>
        <v xml:space="preserve">－   </v>
      </c>
      <c r="O26" s="649">
        <f>IF(SUM(F26:N26)=0,"－   ",SUM(F26:N26))</f>
        <v>245</v>
      </c>
    </row>
    <row r="27" spans="2:16" ht="21" customHeight="1">
      <c r="B27" s="2027"/>
      <c r="C27" s="2061"/>
      <c r="D27" s="2057" t="s">
        <v>932</v>
      </c>
      <c r="E27" s="492" t="s">
        <v>970</v>
      </c>
      <c r="F27" s="647" t="str">
        <f>IF(投資額!T30=0,"－   ",投資額!T30)</f>
        <v xml:space="preserve">－   </v>
      </c>
      <c r="G27" s="647" t="str">
        <f>IF(投資額!U30=0,"－   ",投資額!U30)</f>
        <v xml:space="preserve">－   </v>
      </c>
      <c r="H27" s="647" t="str">
        <f>IF(投資額!V30=0,"－   ",投資額!V30)</f>
        <v xml:space="preserve">－   </v>
      </c>
      <c r="I27" s="647" t="str">
        <f>IF(投資額!W30=0,"－   ",投資額!W30)</f>
        <v xml:space="preserve">－   </v>
      </c>
      <c r="J27" s="647" t="str">
        <f>IF(投資額!X30=0,"－   ",投資額!X30)</f>
        <v xml:space="preserve">－   </v>
      </c>
      <c r="K27" s="647" t="str">
        <f>IF(投資額!Y30=0,"－   ",投資額!Y30)</f>
        <v xml:space="preserve">－   </v>
      </c>
      <c r="L27" s="647" t="str">
        <f>IF(投資額!Z30=0,"－   ",投資額!Z30)</f>
        <v xml:space="preserve">－   </v>
      </c>
      <c r="M27" s="647" t="str">
        <f>IF(投資額!AA30=0,"－   ",投資額!AA30)</f>
        <v xml:space="preserve">－   </v>
      </c>
      <c r="N27" s="647" t="str">
        <f>IF(投資額!AB30=0,"－   ",投資額!AB30)</f>
        <v xml:space="preserve">－   </v>
      </c>
      <c r="O27" s="648" t="str">
        <f>IF(SUM(F27:N27)=0,"－   ",SUM(F27:N27))</f>
        <v xml:space="preserve">－   </v>
      </c>
      <c r="P27" s="863"/>
    </row>
    <row r="28" spans="2:16" ht="21" customHeight="1" thickBot="1">
      <c r="B28" s="2030"/>
      <c r="C28" s="2062"/>
      <c r="D28" s="2062"/>
      <c r="E28" s="494" t="s">
        <v>980</v>
      </c>
      <c r="F28" s="654">
        <f>IF(投資額!T31=0,"－   ",投資額!T31)</f>
        <v>30301600</v>
      </c>
      <c r="G28" s="654" t="str">
        <f>IF(投資額!U31=0,"－   ",投資額!U31)</f>
        <v xml:space="preserve">－   </v>
      </c>
      <c r="H28" s="654" t="str">
        <f>IF(投資額!V31=0,"－   ",投資額!V31)</f>
        <v xml:space="preserve">－   </v>
      </c>
      <c r="I28" s="654" t="str">
        <f>IF(投資額!W31=0,"－   ",投資額!W31)</f>
        <v xml:space="preserve">－   </v>
      </c>
      <c r="J28" s="654" t="str">
        <f>IF(投資額!X31=0,"－   ",投資額!X31)</f>
        <v xml:space="preserve">－   </v>
      </c>
      <c r="K28" s="654" t="str">
        <f>IF(投資額!Y31=0,"－   ",投資額!Y31)</f>
        <v xml:space="preserve">－   </v>
      </c>
      <c r="L28" s="654" t="str">
        <f>IF(投資額!Z31=0,"－   ",投資額!Z31)</f>
        <v xml:space="preserve">－   </v>
      </c>
      <c r="M28" s="654" t="str">
        <f>IF(投資額!AA31=0,"－   ",投資額!AA31)</f>
        <v xml:space="preserve">－   </v>
      </c>
      <c r="N28" s="654" t="str">
        <f>IF(投資額!AB31=0,"－   ",投資額!AB31)</f>
        <v xml:space="preserve">－   </v>
      </c>
      <c r="O28" s="655">
        <f>IF(SUM(F28:N28)=0,"－   ",SUM(F28:N28))</f>
        <v>30301600</v>
      </c>
    </row>
    <row r="29" spans="2:16" ht="24" customHeight="1" thickTop="1">
      <c r="G29" s="544"/>
      <c r="O29" s="1025">
        <f>SUM(O7,O8,O13,O14,O19,O20,O25,O26)</f>
        <v>245</v>
      </c>
    </row>
    <row r="30" spans="2:16" ht="24" customHeight="1">
      <c r="O30" s="1026">
        <f>SUM(O9,O10,O15,O16,O21,O22,O27,O28)</f>
        <v>30301600</v>
      </c>
    </row>
    <row r="31" spans="2:16" ht="26.15" customHeight="1"/>
    <row r="32" spans="2:16" ht="26.15" customHeight="1">
      <c r="D32" s="543"/>
      <c r="E32" s="543"/>
      <c r="F32" s="543"/>
      <c r="G32" s="543"/>
      <c r="H32" s="543"/>
      <c r="I32" s="543"/>
      <c r="J32" s="543"/>
      <c r="K32" s="543"/>
      <c r="L32" s="543"/>
      <c r="M32" s="543"/>
      <c r="N32" s="543"/>
      <c r="O32" s="543"/>
    </row>
    <row r="33" spans="4:15" ht="26.15" customHeight="1">
      <c r="D33" s="543"/>
      <c r="E33" s="543"/>
      <c r="F33" s="543"/>
      <c r="G33" s="543"/>
      <c r="H33" s="543"/>
      <c r="I33" s="543"/>
      <c r="J33" s="543"/>
      <c r="K33" s="543"/>
      <c r="L33" s="543"/>
      <c r="M33" s="543"/>
      <c r="N33" s="543"/>
      <c r="O33" s="543"/>
    </row>
    <row r="34" spans="4:15" ht="26.15" customHeight="1">
      <c r="D34" s="543"/>
      <c r="E34" s="543"/>
      <c r="F34" s="543"/>
      <c r="G34" s="543"/>
      <c r="H34" s="543"/>
      <c r="I34" s="543"/>
      <c r="J34" s="543"/>
      <c r="K34" s="543"/>
      <c r="L34" s="543"/>
      <c r="M34" s="543"/>
      <c r="N34" s="543"/>
      <c r="O34" s="543"/>
    </row>
    <row r="35" spans="4:15" ht="26.15" customHeight="1">
      <c r="D35" s="543"/>
      <c r="E35" s="543"/>
      <c r="F35" s="543"/>
      <c r="G35" s="543"/>
      <c r="H35" s="543"/>
      <c r="I35" s="543"/>
      <c r="J35" s="543"/>
      <c r="K35" s="543"/>
      <c r="L35" s="543"/>
      <c r="M35" s="543"/>
      <c r="N35" s="543"/>
      <c r="O35" s="543"/>
    </row>
    <row r="36" spans="4:15" ht="26.15" customHeight="1"/>
    <row r="37" spans="4:15" ht="26.15" customHeight="1"/>
    <row r="38" spans="4:15" ht="26.15" customHeight="1"/>
    <row r="39" spans="4:15" ht="26.15" customHeight="1"/>
    <row r="40" spans="4:15" ht="26.15" customHeight="1"/>
    <row r="41" spans="4:15" ht="26.15" customHeight="1"/>
    <row r="42" spans="4:15" ht="26.15" customHeight="1"/>
    <row r="43" spans="4:15" ht="26.15" customHeight="1"/>
  </sheetData>
  <sheetProtection sheet="1"/>
  <mergeCells count="19">
    <mergeCell ref="B5:B16"/>
    <mergeCell ref="C5:C10"/>
    <mergeCell ref="C11:C16"/>
    <mergeCell ref="D7:D8"/>
    <mergeCell ref="D9:D10"/>
    <mergeCell ref="D11:D12"/>
    <mergeCell ref="B2:O2"/>
    <mergeCell ref="B17:B28"/>
    <mergeCell ref="C23:C28"/>
    <mergeCell ref="D23:D24"/>
    <mergeCell ref="D25:D26"/>
    <mergeCell ref="D27:D28"/>
    <mergeCell ref="D13:D14"/>
    <mergeCell ref="D15:D16"/>
    <mergeCell ref="C17:C22"/>
    <mergeCell ref="D17:D18"/>
    <mergeCell ref="D19:D20"/>
    <mergeCell ref="D21:D22"/>
    <mergeCell ref="D5:D6"/>
  </mergeCells>
  <phoneticPr fontId="2"/>
  <pageMargins left="0.4" right="0.21" top="0.6" bottom="0.21" header="0.36" footer="0.21"/>
  <pageSetup paperSize="9" scale="97" orientation="landscape" horizontalDpi="200" verticalDpi="200"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5">
    <tabColor indexed="50"/>
    <pageSetUpPr autoPageBreaks="0" fitToPage="1"/>
  </sheetPr>
  <dimension ref="B1:N28"/>
  <sheetViews>
    <sheetView showGridLines="0" zoomScaleNormal="100" workbookViewId="0"/>
  </sheetViews>
  <sheetFormatPr defaultColWidth="10.83203125" defaultRowHeight="14"/>
  <cols>
    <col min="1" max="1" width="9" style="398" customWidth="1"/>
    <col min="2" max="3" width="8.58203125" style="398" customWidth="1"/>
    <col min="4" max="4" width="11" style="398" customWidth="1"/>
    <col min="5" max="5" width="5.58203125" style="398" customWidth="1"/>
    <col min="6" max="11" width="9.08203125" style="398" customWidth="1"/>
    <col min="12" max="15" width="9.75" style="398" customWidth="1"/>
    <col min="16" max="16384" width="10.83203125" style="398"/>
  </cols>
  <sheetData>
    <row r="1" spans="2:14" ht="24" customHeight="1"/>
    <row r="2" spans="2:14" ht="24" customHeight="1">
      <c r="B2" s="2025" t="s">
        <v>1003</v>
      </c>
      <c r="C2" s="2025"/>
      <c r="D2" s="2025"/>
      <c r="E2" s="2025"/>
      <c r="F2" s="2025"/>
      <c r="G2" s="2025"/>
      <c r="H2" s="2025"/>
      <c r="I2" s="2025"/>
      <c r="J2" s="2025"/>
      <c r="K2" s="2025"/>
    </row>
    <row r="3" spans="2:14" ht="24" customHeight="1" thickBot="1">
      <c r="K3" s="507" t="s">
        <v>992</v>
      </c>
    </row>
    <row r="4" spans="2:14" ht="24" customHeight="1" thickBot="1">
      <c r="B4" s="2083" t="s">
        <v>993</v>
      </c>
      <c r="C4" s="2084"/>
      <c r="D4" s="2084"/>
      <c r="E4" s="2085"/>
      <c r="F4" s="2087" t="s">
        <v>981</v>
      </c>
      <c r="G4" s="2085"/>
      <c r="H4" s="2087" t="s">
        <v>982</v>
      </c>
      <c r="I4" s="2085"/>
      <c r="J4" s="2087" t="s">
        <v>983</v>
      </c>
      <c r="K4" s="2088"/>
      <c r="L4" s="503"/>
      <c r="M4" s="502"/>
      <c r="N4" s="502"/>
    </row>
    <row r="5" spans="2:14" ht="24" customHeight="1">
      <c r="B5" s="496" t="s">
        <v>985</v>
      </c>
      <c r="C5" s="497"/>
      <c r="D5" s="498"/>
      <c r="E5" s="497"/>
      <c r="F5" s="2081">
        <f>IF(H5="－        ","－        ",投資額!G40)</f>
        <v>8910</v>
      </c>
      <c r="G5" s="2082"/>
      <c r="H5" s="2081">
        <f>IF(投資額!F40="","－        ",投資額!F40)</f>
        <v>245</v>
      </c>
      <c r="I5" s="2082"/>
      <c r="J5" s="2081">
        <f>IF(H5="－        ","－        ",投資額!H40)</f>
        <v>2182950</v>
      </c>
      <c r="K5" s="2086"/>
      <c r="L5" s="503"/>
      <c r="M5" s="502"/>
      <c r="N5" s="502"/>
    </row>
    <row r="6" spans="2:14" ht="24" customHeight="1">
      <c r="B6" s="499" t="s">
        <v>986</v>
      </c>
      <c r="C6" s="500"/>
      <c r="D6" s="501"/>
      <c r="E6" s="500"/>
      <c r="F6" s="2067" t="str">
        <f>IF(H6="－        ","－        ",投資額!G41)</f>
        <v xml:space="preserve">－        </v>
      </c>
      <c r="G6" s="2068"/>
      <c r="H6" s="2067" t="str">
        <f>IF(投資額!F41="","－        ",投資額!F41)</f>
        <v xml:space="preserve">－        </v>
      </c>
      <c r="I6" s="2068"/>
      <c r="J6" s="2067" t="str">
        <f>IF(H6="－        ","－        ",投資額!H41)</f>
        <v xml:space="preserve">－        </v>
      </c>
      <c r="K6" s="2076"/>
      <c r="L6" s="503"/>
      <c r="M6" s="502"/>
      <c r="N6" s="502"/>
    </row>
    <row r="7" spans="2:14" ht="24" customHeight="1">
      <c r="B7" s="499" t="s">
        <v>987</v>
      </c>
      <c r="C7" s="500"/>
      <c r="D7" s="501"/>
      <c r="E7" s="500"/>
      <c r="F7" s="2067" t="str">
        <f>IF(H7="－        ","－        ",投資額!G42)</f>
        <v xml:space="preserve">－        </v>
      </c>
      <c r="G7" s="2068"/>
      <c r="H7" s="2067" t="str">
        <f>IF(投資額!F42="","－        ",投資額!F42)</f>
        <v xml:space="preserve">－        </v>
      </c>
      <c r="I7" s="2068"/>
      <c r="J7" s="2067" t="str">
        <f>IF(H7="－        ","－        ",投資額!H42)</f>
        <v xml:space="preserve">－        </v>
      </c>
      <c r="K7" s="2076"/>
      <c r="L7" s="503"/>
      <c r="M7" s="502"/>
      <c r="N7" s="502"/>
    </row>
    <row r="8" spans="2:14" ht="26.15" customHeight="1">
      <c r="B8" s="499" t="s">
        <v>988</v>
      </c>
      <c r="C8" s="500"/>
      <c r="D8" s="501"/>
      <c r="E8" s="500"/>
      <c r="F8" s="2067" t="str">
        <f>IF(H8="－        ","－        ",投資額!G43)</f>
        <v xml:space="preserve">－        </v>
      </c>
      <c r="G8" s="2068"/>
      <c r="H8" s="2067" t="str">
        <f>IF(投資額!F43="","－        ",投資額!F43)</f>
        <v xml:space="preserve">－        </v>
      </c>
      <c r="I8" s="2068"/>
      <c r="J8" s="2067" t="str">
        <f>IF(H8="－        ","－        ",投資額!H43)</f>
        <v xml:space="preserve">－        </v>
      </c>
      <c r="K8" s="2076"/>
      <c r="L8" s="503"/>
      <c r="M8" s="502"/>
      <c r="N8" s="502"/>
    </row>
    <row r="9" spans="2:14" ht="26.15" customHeight="1">
      <c r="B9" s="499" t="s">
        <v>989</v>
      </c>
      <c r="C9" s="500"/>
      <c r="D9" s="501"/>
      <c r="E9" s="500"/>
      <c r="F9" s="2067" t="str">
        <f>IF(H9="－        ","－        ",投資額!G44)</f>
        <v xml:space="preserve">－        </v>
      </c>
      <c r="G9" s="2068"/>
      <c r="H9" s="2067" t="str">
        <f>IF(投資額!F44="","－        ",投資額!F44)</f>
        <v xml:space="preserve">－        </v>
      </c>
      <c r="I9" s="2068"/>
      <c r="J9" s="2067" t="str">
        <f>IF(H9="－        ","－        ",投資額!H44)</f>
        <v xml:space="preserve">－        </v>
      </c>
      <c r="K9" s="2076"/>
      <c r="L9" s="503"/>
      <c r="M9" s="502"/>
      <c r="N9" s="502"/>
    </row>
    <row r="10" spans="2:14" ht="26.15" customHeight="1">
      <c r="B10" s="499" t="s">
        <v>990</v>
      </c>
      <c r="C10" s="500"/>
      <c r="D10" s="501"/>
      <c r="E10" s="500"/>
      <c r="F10" s="2067" t="str">
        <f>IF(H10="－        ","－        ",投資額!G45)</f>
        <v xml:space="preserve">－        </v>
      </c>
      <c r="G10" s="2068"/>
      <c r="H10" s="2067" t="str">
        <f>IF(投資額!F45="","－        ",投資額!F45)</f>
        <v xml:space="preserve">－        </v>
      </c>
      <c r="I10" s="2068"/>
      <c r="J10" s="2067" t="str">
        <f>IF(H10="－        ","－        ",投資額!H45)</f>
        <v xml:space="preserve">－        </v>
      </c>
      <c r="K10" s="2076"/>
      <c r="L10" s="503"/>
      <c r="M10" s="502"/>
      <c r="N10" s="502"/>
    </row>
    <row r="11" spans="2:14" ht="26.15" customHeight="1">
      <c r="B11" s="499" t="s">
        <v>984</v>
      </c>
      <c r="C11" s="500"/>
      <c r="D11" s="501"/>
      <c r="E11" s="500"/>
      <c r="F11" s="2067" t="str">
        <f>IF(H11="－        ","－        ",投資額!G46)</f>
        <v xml:space="preserve">－        </v>
      </c>
      <c r="G11" s="2068"/>
      <c r="H11" s="2067" t="str">
        <f>IF(投資額!F46="","－        ",投資額!F46)</f>
        <v xml:space="preserve">－        </v>
      </c>
      <c r="I11" s="2068"/>
      <c r="J11" s="2067" t="str">
        <f>IF(H11="－        ","－        ",投資額!H46)</f>
        <v xml:space="preserve">－        </v>
      </c>
      <c r="K11" s="2076"/>
      <c r="L11" s="503"/>
      <c r="M11" s="502"/>
      <c r="N11" s="502"/>
    </row>
    <row r="12" spans="2:14" ht="26.15" customHeight="1" thickBot="1">
      <c r="B12" s="504" t="s">
        <v>991</v>
      </c>
      <c r="C12" s="505"/>
      <c r="D12" s="505"/>
      <c r="E12" s="506"/>
      <c r="F12" s="2074" t="str">
        <f>IF(H12="－        ","－        ",投資額!G47)</f>
        <v xml:space="preserve">－        </v>
      </c>
      <c r="G12" s="2080"/>
      <c r="H12" s="2074" t="str">
        <f>IF(投資額!F47="","－        ",投資額!F47)</f>
        <v xml:space="preserve">－        </v>
      </c>
      <c r="I12" s="2080"/>
      <c r="J12" s="2074" t="str">
        <f>IF(H12="－        ","－        ",投資額!H47)</f>
        <v xml:space="preserve">－        </v>
      </c>
      <c r="K12" s="2075"/>
      <c r="L12" s="503"/>
      <c r="M12" s="502"/>
      <c r="N12" s="502"/>
    </row>
    <row r="13" spans="2:14" ht="26.15" customHeight="1" thickTop="1" thickBot="1">
      <c r="B13" s="2077" t="s">
        <v>995</v>
      </c>
      <c r="C13" s="2078"/>
      <c r="D13" s="2078"/>
      <c r="E13" s="2079"/>
      <c r="F13" s="2072" t="s">
        <v>994</v>
      </c>
      <c r="G13" s="2073"/>
      <c r="H13" s="2069">
        <f>SUM(H5:I12)</f>
        <v>245</v>
      </c>
      <c r="I13" s="2071"/>
      <c r="J13" s="2069">
        <f>SUM(J5:J12)</f>
        <v>2182950</v>
      </c>
      <c r="K13" s="2070"/>
      <c r="L13" s="495"/>
      <c r="M13" s="484"/>
      <c r="N13" s="484"/>
    </row>
    <row r="14" spans="2:14" ht="26.15" customHeight="1"/>
    <row r="15" spans="2:14" ht="26.15" customHeight="1"/>
    <row r="16" spans="2:14" ht="26.15" customHeight="1"/>
    <row r="17" ht="26.15" customHeight="1"/>
    <row r="18" ht="26.15" customHeight="1"/>
    <row r="19" ht="26.15" customHeight="1"/>
    <row r="20" ht="26.15" customHeight="1"/>
    <row r="21" ht="26.15" customHeight="1"/>
    <row r="22" ht="26.15" customHeight="1"/>
    <row r="23" ht="26.15" customHeight="1"/>
    <row r="24" ht="26.15" customHeight="1"/>
    <row r="25" ht="26.15" customHeight="1"/>
    <row r="26" ht="26.15" customHeight="1"/>
    <row r="27" ht="26.15" customHeight="1"/>
    <row r="28" ht="26.15" customHeight="1"/>
  </sheetData>
  <sheetProtection sheet="1"/>
  <mergeCells count="33">
    <mergeCell ref="B2:K2"/>
    <mergeCell ref="F9:G9"/>
    <mergeCell ref="F10:G10"/>
    <mergeCell ref="F5:G5"/>
    <mergeCell ref="F6:G6"/>
    <mergeCell ref="B4:E4"/>
    <mergeCell ref="J9:K9"/>
    <mergeCell ref="J10:K10"/>
    <mergeCell ref="J5:K5"/>
    <mergeCell ref="J6:K6"/>
    <mergeCell ref="J4:K4"/>
    <mergeCell ref="J8:K8"/>
    <mergeCell ref="J7:K7"/>
    <mergeCell ref="F4:G4"/>
    <mergeCell ref="H4:I4"/>
    <mergeCell ref="H5:I5"/>
    <mergeCell ref="B13:E13"/>
    <mergeCell ref="F7:G7"/>
    <mergeCell ref="H10:I10"/>
    <mergeCell ref="H11:I11"/>
    <mergeCell ref="H12:I12"/>
    <mergeCell ref="F8:G8"/>
    <mergeCell ref="F12:G12"/>
    <mergeCell ref="H9:I9"/>
    <mergeCell ref="F11:G11"/>
    <mergeCell ref="H8:I8"/>
    <mergeCell ref="H6:I6"/>
    <mergeCell ref="J13:K13"/>
    <mergeCell ref="H13:I13"/>
    <mergeCell ref="F13:G13"/>
    <mergeCell ref="J12:K12"/>
    <mergeCell ref="H7:I7"/>
    <mergeCell ref="J11:K11"/>
  </mergeCells>
  <phoneticPr fontId="2"/>
  <pageMargins left="0.59" right="0.21" top="0.98" bottom="0.53" header="0.61" footer="0.51200000000000001"/>
  <pageSetup paperSize="9" scale="97" orientation="portrait" horizontalDpi="200" verticalDpi="2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indexed="10"/>
    <pageSetUpPr autoPageBreaks="0" fitToPage="1"/>
  </sheetPr>
  <dimension ref="A1:K335"/>
  <sheetViews>
    <sheetView showGridLines="0" zoomScaleNormal="100" workbookViewId="0"/>
  </sheetViews>
  <sheetFormatPr defaultColWidth="10.75" defaultRowHeight="14"/>
  <cols>
    <col min="1" max="1" width="29.5" style="1173" customWidth="1"/>
    <col min="2" max="2" width="15.58203125" style="1173" customWidth="1"/>
    <col min="3" max="3" width="20" style="1173" bestFit="1" customWidth="1"/>
    <col min="4" max="4" width="15.58203125" style="1173" customWidth="1"/>
    <col min="5" max="7" width="10.75" style="1173" customWidth="1"/>
    <col min="8" max="10" width="14.75" style="1173" customWidth="1"/>
    <col min="11" max="16384" width="10.75" style="1173"/>
  </cols>
  <sheetData>
    <row r="1" spans="1:11" ht="19.5" customHeight="1">
      <c r="A1" s="1172" t="s">
        <v>858</v>
      </c>
    </row>
    <row r="2" spans="1:11" ht="19.5" customHeight="1">
      <c r="A2" s="1172"/>
    </row>
    <row r="3" spans="1:11" ht="19.5" customHeight="1">
      <c r="A3" s="1174" t="s">
        <v>859</v>
      </c>
    </row>
    <row r="4" spans="1:11" ht="19">
      <c r="A4" s="1175" t="s">
        <v>860</v>
      </c>
      <c r="B4" s="1176" t="s">
        <v>123</v>
      </c>
      <c r="C4" s="1176" t="s">
        <v>124</v>
      </c>
      <c r="D4" s="1176" t="s">
        <v>125</v>
      </c>
      <c r="E4" s="1176" t="s">
        <v>123</v>
      </c>
      <c r="F4" s="1176" t="s">
        <v>124</v>
      </c>
      <c r="G4" s="1177" t="s">
        <v>125</v>
      </c>
      <c r="H4" s="1178"/>
      <c r="I4" s="1178"/>
      <c r="J4" s="1178"/>
      <c r="K4" s="1178"/>
    </row>
    <row r="5" spans="1:11" ht="19">
      <c r="A5" s="1179" t="s">
        <v>126</v>
      </c>
      <c r="B5" s="1180">
        <f>IF(E5&gt;0,E5,係数!H111)</f>
        <v>23</v>
      </c>
      <c r="C5" s="1180">
        <f>IF(H5&gt;0,F5,係数!I111)</f>
        <v>61</v>
      </c>
      <c r="D5" s="1180">
        <f>IF(H5&gt;0,G5,係数!J111)</f>
        <v>16</v>
      </c>
      <c r="E5" s="1237"/>
      <c r="F5" s="1238"/>
      <c r="G5" s="1181" t="str">
        <f>IF(E5&gt;0,100-E5-F5,"")</f>
        <v/>
      </c>
      <c r="H5" s="1182">
        <f>SUM(E5:G5)</f>
        <v>0</v>
      </c>
      <c r="I5" s="1178"/>
      <c r="J5" s="1178"/>
      <c r="K5" s="1178"/>
    </row>
    <row r="6" spans="1:11" ht="19">
      <c r="A6" s="1179" t="s">
        <v>127</v>
      </c>
      <c r="B6" s="1180">
        <f>IF(E6&gt;0,E6,係数!K111)</f>
        <v>5</v>
      </c>
      <c r="C6" s="1180">
        <f>IF(H6&gt;0,F6,係数!L111)</f>
        <v>57</v>
      </c>
      <c r="D6" s="1180">
        <f>IF(H6&gt;0,G6,係数!M111)</f>
        <v>38</v>
      </c>
      <c r="E6" s="1239"/>
      <c r="F6" s="1240"/>
      <c r="G6" s="1183" t="str">
        <f>IF(E6&gt;0,100-E6-F6,"")</f>
        <v/>
      </c>
      <c r="H6" s="1182">
        <f>SUM(E6:G6)</f>
        <v>0</v>
      </c>
      <c r="I6" s="1178"/>
      <c r="J6" s="1178"/>
      <c r="K6" s="1178"/>
    </row>
    <row r="7" spans="1:11" ht="19">
      <c r="A7" s="1179" t="s">
        <v>128</v>
      </c>
      <c r="B7" s="1180">
        <f>IF(E7&gt;0,E7,係数!N111)</f>
        <v>1</v>
      </c>
      <c r="C7" s="1180">
        <f>IF(H7&gt;0,F7,係数!O111)</f>
        <v>37</v>
      </c>
      <c r="D7" s="1180">
        <f>IF(H7&gt;0,G7,係数!P111)</f>
        <v>62</v>
      </c>
      <c r="E7" s="1239"/>
      <c r="F7" s="1240"/>
      <c r="G7" s="1183" t="str">
        <f>IF(E7&gt;0,100-E7-F7,"")</f>
        <v/>
      </c>
      <c r="H7" s="1182">
        <f>SUM(E7:G7)</f>
        <v>0</v>
      </c>
      <c r="I7" s="1178"/>
      <c r="J7" s="1178"/>
      <c r="K7" s="1178"/>
    </row>
    <row r="8" spans="1:11" ht="19">
      <c r="A8" s="1179" t="s">
        <v>129</v>
      </c>
      <c r="B8" s="1180">
        <f>IF(E8&gt;0,E8,係数!Q111)</f>
        <v>23</v>
      </c>
      <c r="C8" s="1180">
        <f>IF(H8&gt;0,F8,係数!R111)</f>
        <v>61</v>
      </c>
      <c r="D8" s="1180">
        <f>IF(H8&gt;0,G8,係数!S111)</f>
        <v>16</v>
      </c>
      <c r="E8" s="1241"/>
      <c r="F8" s="1242"/>
      <c r="G8" s="1184" t="str">
        <f>IF(E8&gt;0,100-E8-F8,"")</f>
        <v/>
      </c>
      <c r="H8" s="1182">
        <f>SUM(E8:G8)</f>
        <v>0</v>
      </c>
      <c r="I8" s="1178"/>
      <c r="J8" s="1178"/>
      <c r="K8" s="1178"/>
    </row>
    <row r="9" spans="1:11" ht="21" customHeight="1">
      <c r="A9" s="1185" t="s">
        <v>880</v>
      </c>
      <c r="B9" s="1235">
        <v>8</v>
      </c>
      <c r="C9" s="1236">
        <v>30</v>
      </c>
      <c r="D9" s="952"/>
      <c r="E9" s="1186" t="s">
        <v>1098</v>
      </c>
      <c r="F9" s="1186"/>
      <c r="G9" s="1186"/>
      <c r="H9" s="1178"/>
      <c r="I9" s="1178"/>
      <c r="J9" s="1178"/>
      <c r="K9" s="1178"/>
    </row>
    <row r="10" spans="1:11" ht="12.75" customHeight="1">
      <c r="A10" s="1179"/>
      <c r="B10" s="1187"/>
      <c r="C10" s="1187"/>
      <c r="D10" s="1180"/>
      <c r="E10" s="1188"/>
      <c r="F10" s="1188"/>
      <c r="G10" s="1188"/>
      <c r="H10" s="1178"/>
      <c r="I10" s="1178"/>
      <c r="J10" s="1178"/>
      <c r="K10" s="1178"/>
    </row>
    <row r="11" spans="1:11" ht="19">
      <c r="A11" s="1179" t="s">
        <v>130</v>
      </c>
      <c r="B11" s="1243">
        <v>1</v>
      </c>
      <c r="C11" s="952"/>
      <c r="D11" s="1265" t="str">
        <f>IF(D19&gt;0,"※Ｃ群の基準単位料金が適切ではありません。","")</f>
        <v/>
      </c>
      <c r="E11" s="1188"/>
      <c r="F11" s="1188"/>
      <c r="G11" s="1188"/>
      <c r="H11" s="1178"/>
      <c r="I11" s="1178"/>
      <c r="J11" s="1178"/>
      <c r="K11" s="1178"/>
    </row>
    <row r="12" spans="1:11" ht="19">
      <c r="A12" s="1179" t="s">
        <v>856</v>
      </c>
      <c r="B12" s="1189" t="s">
        <v>123</v>
      </c>
      <c r="C12" s="1176" t="s">
        <v>124</v>
      </c>
      <c r="D12" s="1176" t="s">
        <v>125</v>
      </c>
      <c r="E12" s="1178"/>
      <c r="F12" s="1178"/>
      <c r="G12" s="1188"/>
      <c r="H12" s="1178" t="s">
        <v>629</v>
      </c>
      <c r="J12" s="1190" t="s">
        <v>630</v>
      </c>
      <c r="K12" s="1178"/>
    </row>
    <row r="13" spans="1:11" ht="19">
      <c r="A13" s="1179" t="s">
        <v>131</v>
      </c>
      <c r="B13" s="1244">
        <v>1000</v>
      </c>
      <c r="C13" s="1246">
        <v>1319.2</v>
      </c>
      <c r="D13" s="952">
        <f>IF(C9="",C13,IF(J13&gt;0,J13,H13))</f>
        <v>2516.1999999999998</v>
      </c>
      <c r="E13" s="1191" t="s">
        <v>796</v>
      </c>
      <c r="F13" s="1178"/>
      <c r="G13" s="1192"/>
      <c r="H13" s="1193">
        <f>参考資料!R20</f>
        <v>-113138.03</v>
      </c>
      <c r="I13" s="1188"/>
      <c r="J13" s="1250">
        <v>2516.1999999999998</v>
      </c>
      <c r="K13" s="1194"/>
    </row>
    <row r="14" spans="1:11" ht="19">
      <c r="A14" s="1179" t="s">
        <v>132</v>
      </c>
      <c r="B14" s="1245">
        <v>488</v>
      </c>
      <c r="C14" s="1195">
        <f>IF(B9&gt;0,(ROUNDDOWN((B13+B9*B14-C13)/B9,2)),0)</f>
        <v>448.1</v>
      </c>
      <c r="D14" s="1196">
        <f>IF(C9&gt;0,(ROUNDDOWN(((C13+(C9*C14))-D13)/C9,2)),C14)</f>
        <v>408.2</v>
      </c>
      <c r="E14" s="1197">
        <f>説明書!B9/説明書!D6</f>
        <v>204.91803278688525</v>
      </c>
      <c r="F14" s="1188" t="s">
        <v>40</v>
      </c>
      <c r="G14" s="1188"/>
      <c r="H14" s="1178"/>
      <c r="I14" s="1178"/>
      <c r="J14" s="1681" t="s">
        <v>1149</v>
      </c>
      <c r="K14" s="1178"/>
    </row>
    <row r="15" spans="1:11" ht="19">
      <c r="A15" s="1179"/>
      <c r="B15" s="1198"/>
      <c r="C15" s="1196"/>
      <c r="D15" s="1196"/>
      <c r="E15" s="1199" t="s">
        <v>0</v>
      </c>
      <c r="F15" s="1247">
        <v>10</v>
      </c>
      <c r="G15" s="1188" t="s">
        <v>1</v>
      </c>
      <c r="H15" s="1178"/>
      <c r="I15" s="1178"/>
      <c r="J15" s="1681"/>
      <c r="K15" s="1178"/>
    </row>
    <row r="16" spans="1:11" ht="18.75" customHeight="1">
      <c r="A16" s="1179" t="s">
        <v>2</v>
      </c>
      <c r="B16" s="1200">
        <f>IF($F$17=0,ROUNDDOWN(B13*(1+($F$15/100)),$F$16),IF($F$17=1,ROUND(B13*(1+($F$15/100)),$F$16),ROUNDUP(B13*(1+($F$15/100)),$F$16)))</f>
        <v>1100</v>
      </c>
      <c r="C16" s="1201">
        <f>IF($F$17=0,ROUNDDOWN(C13*(1+($F$15/100)),$F$16),IF($F$17=1,ROUND(C13*(1+($F$15/100)),$F$16),ROUNDUP(C13*(1+($F$15/100)),$F$16)))</f>
        <v>1451.12</v>
      </c>
      <c r="D16" s="1202">
        <f>IF($F$17=0,ROUNDDOWN(D13*(1+($F$15/100)),$F$16),IF($F$17=1,ROUND(D13*(1+($F$15/100)),$F$16),ROUNDUP(D13*(1+($F$15/100)),$F$16)))</f>
        <v>2767.82</v>
      </c>
      <c r="E16" s="1683" t="s">
        <v>1169</v>
      </c>
      <c r="F16" s="1248">
        <v>2</v>
      </c>
      <c r="G16" s="1679" t="s">
        <v>3</v>
      </c>
      <c r="H16" s="1680"/>
      <c r="I16" s="1680"/>
      <c r="J16" s="1681"/>
      <c r="K16" s="1178"/>
    </row>
    <row r="17" spans="1:11" ht="18.75" customHeight="1">
      <c r="A17" s="1179" t="s">
        <v>4</v>
      </c>
      <c r="B17" s="1203">
        <f>IF($F$17=0,ROUNDDOWN(B14*(1+($F$15/100)),$F$16),IF($F$17=1,ROUND(B14*(1+($F$15/100)),$F$16),ROUNDUP(B14*(1+($F$15/100)),$F$16)))</f>
        <v>536.79999999999995</v>
      </c>
      <c r="C17" s="1204">
        <f>IF($F$17=0,ROUNDDOWN(C14*(1+($F$15/100)),$F$16),IF($F$17=1,ROUND(C14*(1+($F$15/100)),$F$16),ROUNDUP(C14*(1+($F$15/100)),$F$16)))</f>
        <v>492.91</v>
      </c>
      <c r="D17" s="1205">
        <f>IF($F$17=0,ROUNDDOWN(ROUNDDOWN(D14,F16)*(1+($F$15/100)),$F$16),IF($F$17=1,ROUND(ROUNDDOWN(D14,F16)*(1+($F$15/100)),$F$16),ROUNDUP(ROUNDDOWN(D14,F16)*(1+($F$15/100)),$F$16)))</f>
        <v>449.02</v>
      </c>
      <c r="E17" s="1683"/>
      <c r="F17" s="1249">
        <v>0</v>
      </c>
      <c r="G17" s="1679" t="s">
        <v>1170</v>
      </c>
      <c r="H17" s="1680"/>
      <c r="I17" s="1680"/>
      <c r="J17" s="1682"/>
      <c r="K17" s="1178"/>
    </row>
    <row r="18" spans="1:11" ht="29.15" customHeight="1" thickBot="1">
      <c r="A18" s="1678" t="str">
        <f>IF(基本入力!G20&gt;0,"",(IF(SUM(基本入力!C13:C16,基本入力!C56,基本入力!C57)&lt;&gt;販売量ﾃﾞｰﾀ!K41,"※「基本入力」と「販売量データ」の地点数が違います","")))</f>
        <v/>
      </c>
      <c r="B18" s="1678"/>
      <c r="C18" s="1678"/>
      <c r="D18" s="1678"/>
      <c r="H18" s="1206"/>
      <c r="I18" s="1206"/>
      <c r="J18" s="1178"/>
      <c r="K18" s="1178"/>
    </row>
    <row r="19" spans="1:11" ht="21.5" thickTop="1">
      <c r="A19" s="1207" t="s">
        <v>133</v>
      </c>
      <c r="B19" s="1208"/>
      <c r="C19" s="1208">
        <f>C14-B14</f>
        <v>-39.899999999999977</v>
      </c>
      <c r="D19" s="1209">
        <f>D14-C14</f>
        <v>-39.900000000000034</v>
      </c>
      <c r="E19" s="1210">
        <f>C19-D19</f>
        <v>5.6843418860808015E-14</v>
      </c>
      <c r="F19" s="1188"/>
      <c r="G19" s="1188"/>
      <c r="H19" s="1178"/>
      <c r="I19" s="1178"/>
      <c r="J19" s="1178"/>
      <c r="K19" s="1178"/>
    </row>
    <row r="20" spans="1:11" ht="12.75" customHeight="1">
      <c r="A20" s="1211"/>
      <c r="B20" s="1212"/>
      <c r="C20" s="1212"/>
      <c r="D20" s="1213"/>
      <c r="E20" s="1188"/>
      <c r="F20" s="1188"/>
      <c r="G20" s="1178"/>
      <c r="H20" s="1178"/>
      <c r="I20" s="1178"/>
      <c r="J20" s="1178"/>
      <c r="K20" s="1178"/>
    </row>
    <row r="21" spans="1:11" ht="21.5" thickBot="1">
      <c r="A21" s="1214" t="s">
        <v>134</v>
      </c>
      <c r="B21" s="1215"/>
      <c r="C21" s="1215">
        <f>H24</f>
        <v>-2017470.6349999979</v>
      </c>
      <c r="D21" s="1216"/>
      <c r="E21" s="1188"/>
      <c r="F21" s="1188"/>
      <c r="G21" s="1179" t="s">
        <v>135</v>
      </c>
      <c r="H21" s="1217"/>
      <c r="I21" s="1178"/>
      <c r="J21" s="1178"/>
      <c r="K21" s="1178"/>
    </row>
    <row r="22" spans="1:11" ht="19.5" thickTop="1">
      <c r="A22" s="1178"/>
      <c r="B22" s="1178"/>
      <c r="C22" s="1217"/>
      <c r="D22" s="1217"/>
      <c r="E22" s="1188"/>
      <c r="F22" s="1188"/>
      <c r="G22" s="1179" t="s">
        <v>136</v>
      </c>
      <c r="H22" s="1217">
        <f>参考資料!Q10</f>
        <v>-1075313.6349999998</v>
      </c>
      <c r="I22" s="1178"/>
      <c r="J22" s="1178"/>
      <c r="K22" s="1178"/>
    </row>
    <row r="23" spans="1:11" ht="19">
      <c r="A23" s="1179"/>
      <c r="B23" s="1179"/>
      <c r="C23" s="1179"/>
      <c r="D23" s="1176"/>
      <c r="E23" s="1188"/>
      <c r="F23" s="1188"/>
      <c r="G23" s="1179"/>
      <c r="H23" s="1217">
        <f>参考資料!R10</f>
        <v>-942157</v>
      </c>
      <c r="I23" s="1178"/>
      <c r="J23" s="1178"/>
      <c r="K23" s="1178"/>
    </row>
    <row r="24" spans="1:11" ht="19">
      <c r="E24" s="1188"/>
      <c r="F24" s="1188"/>
      <c r="G24" s="1179"/>
      <c r="H24" s="1218">
        <f>参考資料!S10</f>
        <v>-2017470.6349999979</v>
      </c>
      <c r="I24" s="1219" t="str">
        <f>IF(H24&lt;=0,"適","収入が多過ぎます")</f>
        <v>適</v>
      </c>
      <c r="J24" s="1220"/>
      <c r="K24" s="1220"/>
    </row>
    <row r="25" spans="1:11" ht="19">
      <c r="B25" s="1221" t="s">
        <v>1164</v>
      </c>
      <c r="E25" s="1188"/>
      <c r="F25" s="1188"/>
      <c r="G25" s="1188"/>
      <c r="H25" s="1178"/>
      <c r="I25" s="1178"/>
      <c r="J25" s="1220"/>
      <c r="K25" s="1222"/>
    </row>
    <row r="26" spans="1:11" ht="19.5" thickBot="1">
      <c r="A26" s="1176"/>
      <c r="B26" s="1223" t="s">
        <v>123</v>
      </c>
      <c r="C26" s="1223" t="s">
        <v>124</v>
      </c>
      <c r="D26" s="1224"/>
      <c r="E26" s="1178"/>
      <c r="F26" s="1178"/>
      <c r="G26" s="1178"/>
      <c r="H26" s="1178"/>
      <c r="I26" s="1178"/>
      <c r="J26" s="1178"/>
      <c r="K26" s="1178"/>
    </row>
    <row r="27" spans="1:11" ht="19.5" thickTop="1">
      <c r="A27" s="1179" t="s">
        <v>131</v>
      </c>
      <c r="B27" s="1225">
        <f>'参考料金（入力あり）'!E39</f>
        <v>1366</v>
      </c>
      <c r="C27" s="1225">
        <f>'参考料金（入力あり）'!E41</f>
        <v>2049</v>
      </c>
      <c r="D27" s="1226"/>
      <c r="E27" s="1178"/>
      <c r="F27" s="1227"/>
      <c r="G27" s="1178"/>
      <c r="H27" s="1178"/>
      <c r="I27" s="1178"/>
      <c r="J27" s="1178"/>
      <c r="K27" s="1178"/>
    </row>
    <row r="28" spans="1:11" ht="19">
      <c r="A28" s="1179" t="s">
        <v>132</v>
      </c>
      <c r="B28" s="1228">
        <f>'参考料金（入力あり）'!E40</f>
        <v>573.92999999999995</v>
      </c>
      <c r="C28" s="1229"/>
      <c r="D28" s="1230"/>
      <c r="E28" s="1178"/>
      <c r="F28" s="1227"/>
      <c r="G28" s="1178"/>
      <c r="H28" s="1178"/>
      <c r="I28" s="1178"/>
      <c r="J28" s="1178"/>
      <c r="K28" s="1178"/>
    </row>
    <row r="29" spans="1:11" ht="19">
      <c r="A29" s="1176"/>
      <c r="B29" s="1231" t="s">
        <v>51</v>
      </c>
      <c r="C29" s="1217"/>
      <c r="D29" s="1232"/>
      <c r="E29" s="1178"/>
      <c r="F29" s="1178"/>
      <c r="G29" s="1178"/>
      <c r="H29" s="1178"/>
      <c r="I29" s="1178"/>
      <c r="J29" s="1178"/>
      <c r="K29" s="1178"/>
    </row>
    <row r="30" spans="1:11" ht="19">
      <c r="A30" s="1176"/>
      <c r="B30" s="1217"/>
      <c r="C30" s="1217"/>
      <c r="D30" s="1232"/>
      <c r="E30" s="1178"/>
      <c r="F30" s="1178"/>
      <c r="G30" s="1178"/>
      <c r="H30" s="1178"/>
      <c r="I30" s="1178"/>
      <c r="J30" s="1178"/>
      <c r="K30" s="1178"/>
    </row>
    <row r="31" spans="1:11" ht="19">
      <c r="B31" s="1221" t="s">
        <v>869</v>
      </c>
      <c r="E31" s="1178"/>
      <c r="F31" s="1178"/>
      <c r="G31" s="1178"/>
      <c r="H31" s="1178"/>
      <c r="I31" s="1178"/>
      <c r="J31" s="1178"/>
      <c r="K31" s="1178"/>
    </row>
    <row r="32" spans="1:11" ht="19.5" customHeight="1" thickBot="1">
      <c r="A32" s="1176"/>
      <c r="B32" s="1223" t="s">
        <v>123</v>
      </c>
      <c r="C32" s="1223" t="s">
        <v>124</v>
      </c>
      <c r="D32" s="1223" t="s">
        <v>125</v>
      </c>
      <c r="E32" s="1178"/>
      <c r="F32" s="1178"/>
      <c r="G32" s="1178"/>
      <c r="H32" s="1178"/>
      <c r="I32" s="1178"/>
      <c r="J32" s="1178"/>
      <c r="K32" s="1178"/>
    </row>
    <row r="33" spans="1:11" ht="19.5" customHeight="1" thickTop="1">
      <c r="A33" s="1179" t="s">
        <v>131</v>
      </c>
      <c r="B33" s="1251">
        <v>900</v>
      </c>
      <c r="C33" s="1251">
        <v>1300</v>
      </c>
      <c r="D33" s="1251">
        <v>2500</v>
      </c>
      <c r="E33" s="1178"/>
      <c r="F33" s="1178"/>
      <c r="G33" s="1178"/>
      <c r="H33" s="1178"/>
      <c r="I33" s="1178"/>
      <c r="J33" s="1178"/>
      <c r="K33" s="1178"/>
    </row>
    <row r="34" spans="1:11" ht="19.5" customHeight="1">
      <c r="A34" s="1179" t="s">
        <v>1163</v>
      </c>
      <c r="B34" s="1252">
        <v>380</v>
      </c>
      <c r="C34" s="1252">
        <v>330</v>
      </c>
      <c r="D34" s="1252">
        <v>290</v>
      </c>
      <c r="E34" s="1178"/>
      <c r="F34" s="1178"/>
      <c r="G34" s="1178"/>
      <c r="H34" s="1178"/>
      <c r="I34" s="1178"/>
      <c r="J34" s="1178"/>
      <c r="K34" s="1178"/>
    </row>
    <row r="35" spans="1:11" ht="19.5" customHeight="1">
      <c r="A35" s="1178"/>
      <c r="B35" s="1178" t="s">
        <v>62</v>
      </c>
      <c r="C35" s="1178"/>
      <c r="D35" s="1178"/>
      <c r="E35" s="1178"/>
      <c r="F35" s="1178"/>
      <c r="G35" s="1178"/>
      <c r="H35" s="1178"/>
      <c r="I35" s="1178"/>
      <c r="J35" s="1178"/>
      <c r="K35" s="1178"/>
    </row>
    <row r="36" spans="1:11" ht="16.5">
      <c r="A36" s="1178"/>
      <c r="B36" s="1188"/>
      <c r="C36" s="1188"/>
      <c r="D36" s="1188"/>
      <c r="E36" s="1188"/>
      <c r="F36" s="1233"/>
      <c r="G36" s="1178"/>
      <c r="H36" s="1178"/>
      <c r="I36" s="1178"/>
      <c r="J36" s="1178"/>
      <c r="K36" s="1178"/>
    </row>
    <row r="37" spans="1:11">
      <c r="A37" s="1178"/>
      <c r="B37" s="1178"/>
      <c r="C37" s="1231"/>
      <c r="D37" s="1231"/>
      <c r="E37" s="1178"/>
      <c r="F37" s="1234"/>
      <c r="G37" s="1178"/>
      <c r="H37" s="1178"/>
      <c r="I37" s="1178"/>
      <c r="J37" s="1178"/>
      <c r="K37" s="1178"/>
    </row>
    <row r="38" spans="1:11">
      <c r="A38" s="1178"/>
      <c r="B38" s="1178"/>
      <c r="C38" s="1231"/>
      <c r="D38" s="1231"/>
      <c r="E38" s="1178"/>
      <c r="F38" s="1234"/>
      <c r="G38" s="1178"/>
      <c r="H38" s="1178"/>
      <c r="I38" s="1178"/>
      <c r="J38" s="1178"/>
      <c r="K38" s="1178"/>
    </row>
    <row r="39" spans="1:11">
      <c r="A39" s="1178"/>
      <c r="B39" s="1178"/>
      <c r="C39" s="1231"/>
      <c r="D39" s="1231"/>
      <c r="E39" s="1178"/>
      <c r="F39" s="1234"/>
      <c r="G39" s="1178"/>
      <c r="H39" s="1178"/>
      <c r="I39" s="1178"/>
      <c r="J39" s="1178"/>
      <c r="K39" s="1178"/>
    </row>
    <row r="40" spans="1:11">
      <c r="A40" s="1178"/>
      <c r="B40" s="1178"/>
      <c r="C40" s="1231"/>
      <c r="D40" s="1231"/>
      <c r="E40" s="1178"/>
      <c r="F40" s="1234"/>
      <c r="G40" s="1178"/>
      <c r="H40" s="1178"/>
      <c r="I40" s="1178"/>
      <c r="J40" s="1178"/>
      <c r="K40" s="1178"/>
    </row>
    <row r="41" spans="1:11">
      <c r="A41" s="1178"/>
      <c r="B41" s="1178"/>
      <c r="C41" s="1231"/>
      <c r="D41" s="1231"/>
      <c r="E41" s="1178"/>
      <c r="F41" s="1234"/>
      <c r="G41" s="1178"/>
      <c r="H41" s="1178"/>
      <c r="I41" s="1178"/>
      <c r="J41" s="1178"/>
      <c r="K41" s="1178"/>
    </row>
    <row r="42" spans="1:11">
      <c r="A42" s="1178"/>
      <c r="B42" s="1178"/>
      <c r="C42" s="1231"/>
      <c r="D42" s="1231"/>
      <c r="E42" s="1178"/>
      <c r="F42" s="1234"/>
      <c r="G42" s="1178"/>
      <c r="H42" s="1178"/>
      <c r="I42" s="1178"/>
      <c r="J42" s="1178"/>
      <c r="K42" s="1178"/>
    </row>
    <row r="43" spans="1:11">
      <c r="A43" s="1178"/>
      <c r="B43" s="1178"/>
      <c r="C43" s="1231"/>
      <c r="D43" s="1231"/>
      <c r="E43" s="1178"/>
      <c r="F43" s="1234"/>
      <c r="G43" s="1178"/>
      <c r="H43" s="1178"/>
      <c r="I43" s="1178"/>
      <c r="J43" s="1178"/>
      <c r="K43" s="1178"/>
    </row>
    <row r="44" spans="1:11">
      <c r="A44" s="1178"/>
      <c r="B44" s="1178"/>
      <c r="C44" s="1231"/>
      <c r="D44" s="1231"/>
      <c r="E44" s="1178"/>
      <c r="F44" s="1234"/>
      <c r="G44" s="1178"/>
      <c r="H44" s="1178"/>
      <c r="I44" s="1178"/>
      <c r="J44" s="1178"/>
      <c r="K44" s="1178"/>
    </row>
    <row r="45" spans="1:11">
      <c r="A45" s="1178"/>
      <c r="B45" s="1178"/>
      <c r="C45" s="1231"/>
      <c r="D45" s="1231"/>
      <c r="E45" s="1178"/>
      <c r="F45" s="1234"/>
      <c r="G45" s="1178"/>
      <c r="H45" s="1178"/>
      <c r="I45" s="1178"/>
      <c r="J45" s="1178"/>
      <c r="K45" s="1178"/>
    </row>
    <row r="46" spans="1:11">
      <c r="A46" s="1178"/>
      <c r="B46" s="1178"/>
      <c r="C46" s="1231"/>
      <c r="D46" s="1231"/>
      <c r="E46" s="1178"/>
      <c r="F46" s="1234"/>
      <c r="G46" s="1178"/>
      <c r="H46" s="1178"/>
      <c r="I46" s="1178"/>
      <c r="J46" s="1178"/>
      <c r="K46" s="1178"/>
    </row>
    <row r="47" spans="1:11">
      <c r="A47" s="1178"/>
      <c r="B47" s="1178"/>
      <c r="C47" s="1231"/>
      <c r="D47" s="1231"/>
      <c r="E47" s="1178"/>
      <c r="F47" s="1234"/>
      <c r="G47" s="1178"/>
      <c r="H47" s="1178"/>
      <c r="I47" s="1178"/>
      <c r="J47" s="1178"/>
      <c r="K47" s="1178"/>
    </row>
    <row r="48" spans="1:11">
      <c r="A48" s="1178"/>
      <c r="B48" s="1178"/>
      <c r="C48" s="1231"/>
      <c r="D48" s="1231"/>
      <c r="E48" s="1178"/>
      <c r="F48" s="1234"/>
      <c r="G48" s="1178"/>
      <c r="H48" s="1178"/>
      <c r="I48" s="1178"/>
      <c r="J48" s="1178"/>
      <c r="K48" s="1178"/>
    </row>
    <row r="49" spans="1:11">
      <c r="A49" s="1178"/>
      <c r="B49" s="1178"/>
      <c r="C49" s="1231"/>
      <c r="D49" s="1231"/>
      <c r="E49" s="1178"/>
      <c r="F49" s="1234"/>
      <c r="G49" s="1178"/>
      <c r="H49" s="1178"/>
      <c r="I49" s="1178"/>
      <c r="J49" s="1178"/>
      <c r="K49" s="1178"/>
    </row>
    <row r="50" spans="1:11">
      <c r="A50" s="1178"/>
      <c r="B50" s="1178"/>
      <c r="C50" s="1231"/>
      <c r="D50" s="1231"/>
      <c r="E50" s="1178"/>
      <c r="F50" s="1234"/>
      <c r="G50" s="1178"/>
      <c r="H50" s="1178"/>
      <c r="I50" s="1178"/>
      <c r="J50" s="1178"/>
      <c r="K50" s="1178"/>
    </row>
    <row r="51" spans="1:11">
      <c r="A51" s="1178"/>
      <c r="B51" s="1178"/>
      <c r="C51" s="1231"/>
      <c r="D51" s="1231"/>
      <c r="E51" s="1178"/>
      <c r="F51" s="1234"/>
      <c r="G51" s="1178"/>
      <c r="H51" s="1178"/>
      <c r="I51" s="1178"/>
      <c r="J51" s="1178"/>
      <c r="K51" s="1178"/>
    </row>
    <row r="52" spans="1:11">
      <c r="A52" s="1178"/>
      <c r="B52" s="1178"/>
      <c r="C52" s="1231"/>
      <c r="D52" s="1231"/>
      <c r="E52" s="1178"/>
      <c r="F52" s="1234"/>
      <c r="G52" s="1178"/>
      <c r="H52" s="1178"/>
      <c r="I52" s="1178"/>
      <c r="J52" s="1178"/>
      <c r="K52" s="1178"/>
    </row>
    <row r="53" spans="1:11">
      <c r="A53" s="1178"/>
      <c r="B53" s="1178"/>
      <c r="C53" s="1231"/>
      <c r="D53" s="1231"/>
      <c r="E53" s="1178"/>
      <c r="F53" s="1234"/>
      <c r="G53" s="1178"/>
      <c r="H53" s="1178"/>
      <c r="I53" s="1178"/>
      <c r="J53" s="1178"/>
      <c r="K53" s="1178"/>
    </row>
    <row r="54" spans="1:11">
      <c r="A54" s="1178"/>
      <c r="B54" s="1178"/>
      <c r="C54" s="1231"/>
      <c r="D54" s="1231"/>
      <c r="E54" s="1178"/>
      <c r="F54" s="1234"/>
      <c r="G54" s="1178"/>
      <c r="H54" s="1178"/>
      <c r="I54" s="1178"/>
      <c r="J54" s="1178"/>
      <c r="K54" s="1178"/>
    </row>
    <row r="55" spans="1:11">
      <c r="A55" s="1178"/>
      <c r="B55" s="1178"/>
      <c r="C55" s="1231"/>
      <c r="D55" s="1231"/>
      <c r="E55" s="1178"/>
      <c r="F55" s="1234"/>
      <c r="G55" s="1178"/>
      <c r="H55" s="1178"/>
      <c r="I55" s="1178"/>
      <c r="J55" s="1178"/>
      <c r="K55" s="1178"/>
    </row>
    <row r="56" spans="1:11">
      <c r="A56" s="1178"/>
      <c r="B56" s="1178"/>
      <c r="C56" s="1231"/>
      <c r="D56" s="1231"/>
      <c r="E56" s="1178"/>
      <c r="F56" s="1234"/>
      <c r="G56" s="1178"/>
      <c r="H56" s="1178"/>
      <c r="I56" s="1178"/>
      <c r="J56" s="1178"/>
      <c r="K56" s="1178"/>
    </row>
    <row r="57" spans="1:11">
      <c r="A57" s="1178"/>
      <c r="B57" s="1178"/>
      <c r="C57" s="1231"/>
      <c r="D57" s="1231"/>
      <c r="E57" s="1178"/>
      <c r="F57" s="1234"/>
      <c r="G57" s="1178"/>
      <c r="H57" s="1178"/>
      <c r="I57" s="1178"/>
      <c r="J57" s="1178"/>
      <c r="K57" s="1178"/>
    </row>
    <row r="58" spans="1:11">
      <c r="A58" s="1178"/>
      <c r="B58" s="1178"/>
      <c r="C58" s="1231"/>
      <c r="D58" s="1231"/>
      <c r="E58" s="1178"/>
      <c r="F58" s="1234"/>
      <c r="G58" s="1178"/>
      <c r="H58" s="1178"/>
      <c r="I58" s="1178"/>
      <c r="J58" s="1178"/>
      <c r="K58" s="1178"/>
    </row>
    <row r="59" spans="1:11">
      <c r="A59" s="1178"/>
      <c r="B59" s="1178"/>
      <c r="C59" s="1231"/>
      <c r="D59" s="1231"/>
      <c r="E59" s="1178"/>
      <c r="F59" s="1234"/>
      <c r="G59" s="1178"/>
      <c r="H59" s="1178"/>
      <c r="I59" s="1178"/>
      <c r="J59" s="1178"/>
      <c r="K59" s="1178"/>
    </row>
    <row r="60" spans="1:11">
      <c r="A60" s="1178"/>
      <c r="B60" s="1178"/>
      <c r="C60" s="1231"/>
      <c r="D60" s="1231"/>
      <c r="E60" s="1178"/>
      <c r="F60" s="1234"/>
      <c r="G60" s="1178"/>
      <c r="H60" s="1178"/>
      <c r="I60" s="1178"/>
      <c r="J60" s="1178"/>
      <c r="K60" s="1178"/>
    </row>
    <row r="61" spans="1:11">
      <c r="A61" s="1178"/>
      <c r="B61" s="1178"/>
      <c r="C61" s="1231"/>
      <c r="D61" s="1231"/>
      <c r="E61" s="1178"/>
      <c r="F61" s="1234"/>
      <c r="G61" s="1178"/>
      <c r="H61" s="1178"/>
      <c r="I61" s="1178"/>
      <c r="J61" s="1178"/>
      <c r="K61" s="1178"/>
    </row>
    <row r="62" spans="1:11">
      <c r="A62" s="1178"/>
      <c r="B62" s="1178"/>
      <c r="C62" s="1231"/>
      <c r="D62" s="1231"/>
      <c r="E62" s="1178"/>
      <c r="F62" s="1234"/>
      <c r="G62" s="1178"/>
      <c r="H62" s="1178"/>
      <c r="I62" s="1178"/>
      <c r="J62" s="1178"/>
      <c r="K62" s="1178"/>
    </row>
    <row r="63" spans="1:11">
      <c r="A63" s="1178"/>
      <c r="B63" s="1178"/>
      <c r="C63" s="1231"/>
      <c r="D63" s="1231"/>
      <c r="E63" s="1178"/>
      <c r="F63" s="1234"/>
      <c r="G63" s="1178"/>
      <c r="H63" s="1178"/>
      <c r="I63" s="1178"/>
      <c r="J63" s="1178"/>
      <c r="K63" s="1178"/>
    </row>
    <row r="64" spans="1:11">
      <c r="A64" s="1178"/>
      <c r="B64" s="1178"/>
      <c r="C64" s="1231"/>
      <c r="D64" s="1231"/>
      <c r="E64" s="1178"/>
      <c r="F64" s="1234"/>
      <c r="G64" s="1178"/>
      <c r="H64" s="1178"/>
      <c r="I64" s="1178"/>
      <c r="J64" s="1178"/>
      <c r="K64" s="1178"/>
    </row>
    <row r="65" spans="1:11">
      <c r="A65" s="1178"/>
      <c r="B65" s="1178"/>
      <c r="C65" s="1231"/>
      <c r="D65" s="1231"/>
      <c r="E65" s="1178"/>
      <c r="F65" s="1234"/>
      <c r="G65" s="1178"/>
      <c r="H65" s="1178"/>
      <c r="I65" s="1178"/>
      <c r="J65" s="1178"/>
      <c r="K65" s="1178"/>
    </row>
    <row r="66" spans="1:11">
      <c r="A66" s="1178"/>
      <c r="B66" s="1178"/>
      <c r="C66" s="1231"/>
      <c r="D66" s="1231"/>
      <c r="E66" s="1178"/>
      <c r="F66" s="1234"/>
      <c r="G66" s="1178"/>
      <c r="H66" s="1178"/>
      <c r="I66" s="1178"/>
      <c r="J66" s="1178"/>
      <c r="K66" s="1178"/>
    </row>
    <row r="67" spans="1:11">
      <c r="A67" s="1178"/>
      <c r="B67" s="1178"/>
      <c r="C67" s="1231"/>
      <c r="D67" s="1231"/>
      <c r="E67" s="1178"/>
      <c r="F67" s="1234"/>
      <c r="G67" s="1178"/>
      <c r="H67" s="1178"/>
      <c r="I67" s="1178"/>
      <c r="J67" s="1178"/>
      <c r="K67" s="1178"/>
    </row>
    <row r="68" spans="1:11">
      <c r="A68" s="1178"/>
      <c r="B68" s="1178"/>
      <c r="C68" s="1231"/>
      <c r="D68" s="1231"/>
      <c r="E68" s="1178"/>
      <c r="F68" s="1234"/>
      <c r="G68" s="1178"/>
      <c r="H68" s="1178"/>
      <c r="I68" s="1178"/>
      <c r="J68" s="1178"/>
      <c r="K68" s="1178"/>
    </row>
    <row r="69" spans="1:11">
      <c r="A69" s="1178"/>
      <c r="B69" s="1178"/>
      <c r="C69" s="1231"/>
      <c r="D69" s="1231"/>
      <c r="E69" s="1178"/>
      <c r="F69" s="1234"/>
      <c r="G69" s="1178"/>
      <c r="H69" s="1178"/>
      <c r="I69" s="1178"/>
      <c r="J69" s="1178"/>
      <c r="K69" s="1178"/>
    </row>
    <row r="70" spans="1:11">
      <c r="A70" s="1178"/>
      <c r="B70" s="1178"/>
      <c r="C70" s="1231"/>
      <c r="D70" s="1231"/>
      <c r="E70" s="1178"/>
      <c r="F70" s="1234"/>
      <c r="G70" s="1178"/>
      <c r="H70" s="1178"/>
      <c r="I70" s="1178"/>
      <c r="J70" s="1178"/>
      <c r="K70" s="1178"/>
    </row>
    <row r="71" spans="1:11">
      <c r="A71" s="1178"/>
      <c r="B71" s="1178"/>
      <c r="C71" s="1231"/>
      <c r="D71" s="1231"/>
      <c r="E71" s="1178"/>
      <c r="F71" s="1234"/>
      <c r="G71" s="1178"/>
      <c r="H71" s="1178"/>
      <c r="I71" s="1178"/>
      <c r="J71" s="1178"/>
      <c r="K71" s="1178"/>
    </row>
    <row r="72" spans="1:11">
      <c r="A72" s="1178"/>
      <c r="B72" s="1178"/>
      <c r="C72" s="1231"/>
      <c r="D72" s="1231"/>
      <c r="E72" s="1178"/>
      <c r="F72" s="1234"/>
      <c r="G72" s="1178"/>
      <c r="H72" s="1178"/>
      <c r="I72" s="1178"/>
      <c r="J72" s="1178"/>
      <c r="K72" s="1178"/>
    </row>
    <row r="73" spans="1:11">
      <c r="A73" s="1178"/>
      <c r="B73" s="1178"/>
      <c r="C73" s="1231"/>
      <c r="D73" s="1231"/>
      <c r="E73" s="1178"/>
      <c r="F73" s="1234"/>
      <c r="G73" s="1178"/>
      <c r="H73" s="1178"/>
      <c r="I73" s="1178"/>
      <c r="J73" s="1178"/>
      <c r="K73" s="1178"/>
    </row>
    <row r="74" spans="1:11">
      <c r="A74" s="1178"/>
      <c r="B74" s="1178"/>
      <c r="C74" s="1231"/>
      <c r="D74" s="1231"/>
      <c r="E74" s="1178"/>
      <c r="F74" s="1234"/>
      <c r="G74" s="1178"/>
      <c r="H74" s="1178"/>
      <c r="I74" s="1178"/>
      <c r="J74" s="1178"/>
      <c r="K74" s="1178"/>
    </row>
    <row r="75" spans="1:11">
      <c r="A75" s="1178"/>
      <c r="B75" s="1178"/>
      <c r="C75" s="1231"/>
      <c r="D75" s="1231"/>
      <c r="E75" s="1178"/>
      <c r="F75" s="1234"/>
      <c r="G75" s="1178"/>
      <c r="H75" s="1178"/>
      <c r="I75" s="1178"/>
      <c r="J75" s="1178"/>
      <c r="K75" s="1178"/>
    </row>
    <row r="76" spans="1:11">
      <c r="A76" s="1178"/>
      <c r="B76" s="1178"/>
      <c r="C76" s="1231"/>
      <c r="D76" s="1231"/>
      <c r="E76" s="1178"/>
      <c r="F76" s="1234"/>
      <c r="G76" s="1178"/>
      <c r="H76" s="1178"/>
      <c r="I76" s="1178"/>
      <c r="J76" s="1178"/>
      <c r="K76" s="1178"/>
    </row>
    <row r="77" spans="1:11">
      <c r="A77" s="1178"/>
      <c r="B77" s="1178"/>
      <c r="C77" s="1231"/>
      <c r="D77" s="1231"/>
      <c r="E77" s="1178"/>
      <c r="F77" s="1234"/>
      <c r="G77" s="1178"/>
      <c r="H77" s="1178"/>
      <c r="I77" s="1178"/>
      <c r="J77" s="1178"/>
      <c r="K77" s="1178"/>
    </row>
    <row r="78" spans="1:11">
      <c r="A78" s="1178"/>
      <c r="B78" s="1178"/>
      <c r="C78" s="1231"/>
      <c r="D78" s="1231"/>
      <c r="E78" s="1178"/>
      <c r="F78" s="1234"/>
      <c r="G78" s="1178"/>
      <c r="H78" s="1178"/>
      <c r="I78" s="1178"/>
      <c r="J78" s="1178"/>
      <c r="K78" s="1178"/>
    </row>
    <row r="79" spans="1:11">
      <c r="A79" s="1178"/>
      <c r="B79" s="1178"/>
      <c r="C79" s="1231"/>
      <c r="D79" s="1231"/>
      <c r="E79" s="1178"/>
      <c r="F79" s="1234"/>
      <c r="G79" s="1178"/>
      <c r="H79" s="1178"/>
      <c r="I79" s="1178"/>
      <c r="J79" s="1178"/>
      <c r="K79" s="1178"/>
    </row>
    <row r="80" spans="1:11">
      <c r="A80" s="1178"/>
      <c r="B80" s="1178"/>
      <c r="C80" s="1231"/>
      <c r="D80" s="1231"/>
      <c r="E80" s="1178"/>
      <c r="F80" s="1234"/>
      <c r="G80" s="1178"/>
      <c r="H80" s="1178"/>
      <c r="I80" s="1178"/>
      <c r="J80" s="1178"/>
      <c r="K80" s="1178"/>
    </row>
    <row r="81" spans="1:11">
      <c r="A81" s="1178"/>
      <c r="B81" s="1178"/>
      <c r="C81" s="1231"/>
      <c r="D81" s="1231"/>
      <c r="E81" s="1178"/>
      <c r="F81" s="1234"/>
      <c r="G81" s="1178"/>
      <c r="H81" s="1178"/>
      <c r="I81" s="1178"/>
      <c r="J81" s="1178"/>
      <c r="K81" s="1178"/>
    </row>
    <row r="82" spans="1:11">
      <c r="A82" s="1178"/>
      <c r="B82" s="1178"/>
      <c r="C82" s="1231"/>
      <c r="D82" s="1231"/>
      <c r="E82" s="1178"/>
      <c r="F82" s="1234"/>
      <c r="G82" s="1178"/>
      <c r="H82" s="1178"/>
      <c r="I82" s="1178"/>
      <c r="J82" s="1178"/>
      <c r="K82" s="1178"/>
    </row>
    <row r="83" spans="1:11">
      <c r="A83" s="1178"/>
      <c r="B83" s="1178"/>
      <c r="C83" s="1231"/>
      <c r="D83" s="1231"/>
      <c r="E83" s="1178"/>
      <c r="F83" s="1234"/>
      <c r="G83" s="1178"/>
      <c r="H83" s="1178"/>
      <c r="I83" s="1178"/>
      <c r="J83" s="1178"/>
      <c r="K83" s="1178"/>
    </row>
    <row r="84" spans="1:11">
      <c r="A84" s="1178"/>
      <c r="B84" s="1178"/>
      <c r="C84" s="1231"/>
      <c r="D84" s="1231"/>
      <c r="E84" s="1178"/>
      <c r="F84" s="1234"/>
      <c r="G84" s="1178"/>
      <c r="H84" s="1178"/>
      <c r="I84" s="1178"/>
      <c r="J84" s="1178"/>
      <c r="K84" s="1178"/>
    </row>
    <row r="85" spans="1:11">
      <c r="A85" s="1178"/>
      <c r="B85" s="1178"/>
      <c r="C85" s="1231"/>
      <c r="D85" s="1231"/>
      <c r="E85" s="1178"/>
      <c r="F85" s="1234"/>
      <c r="G85" s="1178"/>
      <c r="H85" s="1178"/>
      <c r="I85" s="1178"/>
      <c r="J85" s="1178"/>
      <c r="K85" s="1178"/>
    </row>
    <row r="86" spans="1:11">
      <c r="A86" s="1178"/>
      <c r="B86" s="1178"/>
      <c r="C86" s="1231"/>
      <c r="D86" s="1231"/>
      <c r="E86" s="1178"/>
      <c r="F86" s="1234"/>
      <c r="G86" s="1178"/>
      <c r="H86" s="1178"/>
      <c r="I86" s="1178"/>
      <c r="J86" s="1178"/>
      <c r="K86" s="1178"/>
    </row>
    <row r="87" spans="1:11">
      <c r="A87" s="1178"/>
      <c r="B87" s="1178"/>
      <c r="C87" s="1231"/>
      <c r="D87" s="1231"/>
      <c r="E87" s="1178"/>
      <c r="F87" s="1234"/>
      <c r="G87" s="1178"/>
      <c r="H87" s="1178"/>
      <c r="I87" s="1178"/>
      <c r="J87" s="1178"/>
      <c r="K87" s="1178"/>
    </row>
    <row r="88" spans="1:11">
      <c r="A88" s="1178"/>
      <c r="B88" s="1178"/>
      <c r="C88" s="1231"/>
      <c r="D88" s="1231"/>
      <c r="E88" s="1178"/>
      <c r="F88" s="1234"/>
      <c r="G88" s="1178"/>
      <c r="H88" s="1178"/>
      <c r="I88" s="1178"/>
      <c r="J88" s="1178"/>
      <c r="K88" s="1178"/>
    </row>
    <row r="89" spans="1:11">
      <c r="A89" s="1178"/>
      <c r="B89" s="1178"/>
      <c r="C89" s="1231"/>
      <c r="D89" s="1231"/>
      <c r="E89" s="1178"/>
      <c r="F89" s="1234"/>
      <c r="G89" s="1178"/>
      <c r="H89" s="1178"/>
      <c r="I89" s="1178"/>
      <c r="J89" s="1178"/>
      <c r="K89" s="1178"/>
    </row>
    <row r="90" spans="1:11">
      <c r="A90" s="1178"/>
      <c r="B90" s="1178"/>
      <c r="C90" s="1231"/>
      <c r="D90" s="1231"/>
      <c r="E90" s="1178"/>
      <c r="F90" s="1234"/>
      <c r="G90" s="1178"/>
      <c r="H90" s="1178"/>
      <c r="I90" s="1178"/>
      <c r="J90" s="1178"/>
      <c r="K90" s="1178"/>
    </row>
    <row r="91" spans="1:11">
      <c r="A91" s="1178"/>
      <c r="B91" s="1178"/>
      <c r="C91" s="1231"/>
      <c r="D91" s="1231"/>
      <c r="E91" s="1178"/>
      <c r="F91" s="1234"/>
      <c r="G91" s="1178"/>
      <c r="H91" s="1178"/>
      <c r="I91" s="1178"/>
      <c r="J91" s="1178"/>
      <c r="K91" s="1178"/>
    </row>
    <row r="92" spans="1:11">
      <c r="A92" s="1178"/>
      <c r="B92" s="1178"/>
      <c r="C92" s="1231"/>
      <c r="D92" s="1231"/>
      <c r="E92" s="1178"/>
      <c r="F92" s="1234"/>
      <c r="G92" s="1178"/>
      <c r="H92" s="1178"/>
      <c r="I92" s="1178"/>
      <c r="J92" s="1178"/>
      <c r="K92" s="1178"/>
    </row>
    <row r="93" spans="1:11">
      <c r="A93" s="1178"/>
      <c r="B93" s="1178"/>
      <c r="C93" s="1231"/>
      <c r="D93" s="1231"/>
      <c r="E93" s="1178"/>
      <c r="F93" s="1234"/>
      <c r="G93" s="1178"/>
      <c r="H93" s="1178"/>
      <c r="I93" s="1178"/>
      <c r="J93" s="1178"/>
      <c r="K93" s="1178"/>
    </row>
    <row r="94" spans="1:11">
      <c r="A94" s="1178"/>
      <c r="B94" s="1178"/>
      <c r="C94" s="1231"/>
      <c r="D94" s="1231"/>
      <c r="E94" s="1178"/>
      <c r="F94" s="1234"/>
      <c r="G94" s="1178"/>
      <c r="H94" s="1178"/>
      <c r="I94" s="1178"/>
      <c r="J94" s="1178"/>
      <c r="K94" s="1178"/>
    </row>
    <row r="95" spans="1:11">
      <c r="A95" s="1178"/>
      <c r="B95" s="1178"/>
      <c r="C95" s="1231"/>
      <c r="D95" s="1231"/>
      <c r="E95" s="1178"/>
      <c r="F95" s="1234"/>
      <c r="G95" s="1178"/>
      <c r="H95" s="1178"/>
      <c r="I95" s="1178"/>
      <c r="J95" s="1178"/>
      <c r="K95" s="1178"/>
    </row>
    <row r="96" spans="1:11">
      <c r="A96" s="1178"/>
      <c r="B96" s="1178"/>
      <c r="C96" s="1231"/>
      <c r="D96" s="1231"/>
      <c r="E96" s="1178"/>
      <c r="F96" s="1234"/>
      <c r="G96" s="1178"/>
      <c r="H96" s="1178"/>
      <c r="I96" s="1178"/>
      <c r="J96" s="1178"/>
      <c r="K96" s="1178"/>
    </row>
    <row r="97" spans="1:11">
      <c r="A97" s="1178"/>
      <c r="B97" s="1178"/>
      <c r="C97" s="1231"/>
      <c r="D97" s="1231"/>
      <c r="E97" s="1178"/>
      <c r="F97" s="1234"/>
      <c r="G97" s="1178"/>
      <c r="H97" s="1178"/>
      <c r="I97" s="1178"/>
      <c r="J97" s="1178"/>
      <c r="K97" s="1178"/>
    </row>
    <row r="98" spans="1:11">
      <c r="A98" s="1178"/>
      <c r="B98" s="1178"/>
      <c r="C98" s="1231"/>
      <c r="D98" s="1231"/>
      <c r="E98" s="1178"/>
      <c r="F98" s="1234"/>
      <c r="G98" s="1178"/>
      <c r="H98" s="1178"/>
      <c r="I98" s="1178"/>
      <c r="J98" s="1178"/>
      <c r="K98" s="1178"/>
    </row>
    <row r="99" spans="1:11">
      <c r="A99" s="1178"/>
      <c r="B99" s="1178"/>
      <c r="C99" s="1231"/>
      <c r="D99" s="1231"/>
      <c r="E99" s="1178"/>
      <c r="F99" s="1234"/>
      <c r="G99" s="1178"/>
      <c r="H99" s="1178"/>
      <c r="I99" s="1178"/>
      <c r="J99" s="1178"/>
      <c r="K99" s="1178"/>
    </row>
    <row r="100" spans="1:11">
      <c r="A100" s="1178"/>
      <c r="B100" s="1178"/>
      <c r="C100" s="1231"/>
      <c r="D100" s="1231"/>
      <c r="E100" s="1178"/>
      <c r="F100" s="1234"/>
      <c r="G100" s="1178"/>
      <c r="H100" s="1178"/>
      <c r="I100" s="1178"/>
      <c r="J100" s="1178"/>
      <c r="K100" s="1178"/>
    </row>
    <row r="101" spans="1:11">
      <c r="A101" s="1178"/>
      <c r="B101" s="1178"/>
      <c r="C101" s="1231"/>
      <c r="D101" s="1231"/>
      <c r="E101" s="1178"/>
      <c r="F101" s="1234"/>
      <c r="G101" s="1178"/>
      <c r="H101" s="1178"/>
      <c r="I101" s="1178"/>
      <c r="J101" s="1178"/>
      <c r="K101" s="1178"/>
    </row>
    <row r="102" spans="1:11">
      <c r="A102" s="1178"/>
      <c r="B102" s="1178"/>
      <c r="C102" s="1231"/>
      <c r="D102" s="1231"/>
      <c r="E102" s="1178"/>
      <c r="F102" s="1234"/>
      <c r="G102" s="1178"/>
      <c r="H102" s="1178"/>
      <c r="I102" s="1178"/>
      <c r="J102" s="1178"/>
      <c r="K102" s="1178"/>
    </row>
    <row r="103" spans="1:11">
      <c r="A103" s="1178"/>
      <c r="B103" s="1178"/>
      <c r="C103" s="1231"/>
      <c r="D103" s="1231"/>
      <c r="E103" s="1178"/>
      <c r="F103" s="1234"/>
      <c r="G103" s="1178"/>
      <c r="H103" s="1178"/>
      <c r="I103" s="1178"/>
      <c r="J103" s="1178"/>
      <c r="K103" s="1178"/>
    </row>
    <row r="104" spans="1:11">
      <c r="A104" s="1178"/>
      <c r="B104" s="1178"/>
      <c r="C104" s="1231"/>
      <c r="D104" s="1231"/>
      <c r="E104" s="1178"/>
      <c r="F104" s="1234"/>
      <c r="G104" s="1178"/>
      <c r="H104" s="1178"/>
      <c r="I104" s="1178"/>
      <c r="J104" s="1178"/>
      <c r="K104" s="1178"/>
    </row>
    <row r="105" spans="1:11">
      <c r="A105" s="1178"/>
      <c r="B105" s="1178"/>
      <c r="C105" s="1231"/>
      <c r="D105" s="1231"/>
      <c r="E105" s="1178"/>
      <c r="F105" s="1234"/>
      <c r="G105" s="1178"/>
      <c r="H105" s="1178"/>
      <c r="I105" s="1178"/>
      <c r="J105" s="1178"/>
      <c r="K105" s="1178"/>
    </row>
    <row r="106" spans="1:11">
      <c r="A106" s="1178"/>
      <c r="B106" s="1178"/>
      <c r="C106" s="1231"/>
      <c r="D106" s="1231"/>
      <c r="E106" s="1178"/>
      <c r="F106" s="1234"/>
      <c r="G106" s="1178"/>
      <c r="H106" s="1178"/>
      <c r="I106" s="1178"/>
      <c r="J106" s="1178"/>
      <c r="K106" s="1178"/>
    </row>
    <row r="107" spans="1:11">
      <c r="A107" s="1178"/>
      <c r="B107" s="1178"/>
      <c r="C107" s="1231"/>
      <c r="D107" s="1231"/>
      <c r="E107" s="1178"/>
      <c r="F107" s="1234"/>
      <c r="G107" s="1178"/>
      <c r="H107" s="1178"/>
      <c r="I107" s="1178"/>
      <c r="J107" s="1178"/>
      <c r="K107" s="1178"/>
    </row>
    <row r="108" spans="1:11">
      <c r="A108" s="1178"/>
      <c r="B108" s="1178"/>
      <c r="C108" s="1231"/>
      <c r="D108" s="1231"/>
      <c r="E108" s="1178"/>
      <c r="F108" s="1234"/>
      <c r="G108" s="1178"/>
      <c r="H108" s="1178"/>
      <c r="I108" s="1178"/>
      <c r="J108" s="1178"/>
      <c r="K108" s="1178"/>
    </row>
    <row r="109" spans="1:11">
      <c r="A109" s="1178"/>
      <c r="B109" s="1178"/>
      <c r="C109" s="1231"/>
      <c r="D109" s="1231"/>
      <c r="E109" s="1178"/>
      <c r="F109" s="1234"/>
      <c r="G109" s="1178"/>
      <c r="H109" s="1178"/>
      <c r="I109" s="1178"/>
      <c r="J109" s="1178"/>
      <c r="K109" s="1178"/>
    </row>
    <row r="110" spans="1:11">
      <c r="A110" s="1178"/>
      <c r="B110" s="1178"/>
      <c r="C110" s="1231"/>
      <c r="D110" s="1231"/>
      <c r="E110" s="1178"/>
      <c r="F110" s="1234"/>
      <c r="G110" s="1178"/>
      <c r="H110" s="1178"/>
      <c r="I110" s="1178"/>
      <c r="J110" s="1178"/>
      <c r="K110" s="1178"/>
    </row>
    <row r="111" spans="1:11">
      <c r="A111" s="1178"/>
      <c r="B111" s="1178"/>
      <c r="C111" s="1231"/>
      <c r="D111" s="1231"/>
      <c r="E111" s="1178"/>
      <c r="F111" s="1234"/>
      <c r="G111" s="1178"/>
      <c r="H111" s="1178"/>
      <c r="I111" s="1178"/>
      <c r="J111" s="1178"/>
      <c r="K111" s="1178"/>
    </row>
    <row r="112" spans="1:11">
      <c r="A112" s="1178"/>
      <c r="B112" s="1178"/>
      <c r="C112" s="1231"/>
      <c r="D112" s="1231"/>
      <c r="E112" s="1178"/>
      <c r="F112" s="1234"/>
      <c r="G112" s="1178"/>
      <c r="H112" s="1178"/>
      <c r="I112" s="1178"/>
      <c r="J112" s="1178"/>
      <c r="K112" s="1178"/>
    </row>
    <row r="113" spans="1:11">
      <c r="A113" s="1178"/>
      <c r="B113" s="1178"/>
      <c r="C113" s="1231"/>
      <c r="D113" s="1231"/>
      <c r="E113" s="1178"/>
      <c r="F113" s="1234"/>
      <c r="G113" s="1178"/>
      <c r="H113" s="1178"/>
      <c r="I113" s="1178"/>
      <c r="J113" s="1178"/>
      <c r="K113" s="1178"/>
    </row>
    <row r="114" spans="1:11">
      <c r="A114" s="1178"/>
      <c r="B114" s="1178"/>
      <c r="C114" s="1231"/>
      <c r="D114" s="1231"/>
      <c r="E114" s="1178"/>
      <c r="F114" s="1234"/>
      <c r="G114" s="1178"/>
      <c r="H114" s="1178"/>
      <c r="I114" s="1178"/>
      <c r="J114" s="1178"/>
      <c r="K114" s="1178"/>
    </row>
    <row r="115" spans="1:11">
      <c r="A115" s="1178"/>
      <c r="B115" s="1178"/>
      <c r="C115" s="1231"/>
      <c r="D115" s="1231"/>
      <c r="E115" s="1178"/>
      <c r="F115" s="1234"/>
      <c r="G115" s="1178"/>
      <c r="H115" s="1178"/>
      <c r="I115" s="1178"/>
      <c r="J115" s="1178"/>
      <c r="K115" s="1178"/>
    </row>
    <row r="116" spans="1:11">
      <c r="A116" s="1178"/>
      <c r="B116" s="1178"/>
      <c r="C116" s="1231"/>
      <c r="D116" s="1231"/>
      <c r="E116" s="1178"/>
      <c r="F116" s="1234"/>
      <c r="G116" s="1178"/>
      <c r="H116" s="1178"/>
      <c r="I116" s="1178"/>
      <c r="J116" s="1178"/>
      <c r="K116" s="1178"/>
    </row>
    <row r="117" spans="1:11">
      <c r="A117" s="1178"/>
      <c r="B117" s="1178"/>
      <c r="C117" s="1231"/>
      <c r="D117" s="1231"/>
      <c r="E117" s="1178"/>
      <c r="F117" s="1234"/>
      <c r="G117" s="1178"/>
      <c r="H117" s="1178"/>
      <c r="I117" s="1178"/>
      <c r="J117" s="1178"/>
      <c r="K117" s="1178"/>
    </row>
    <row r="118" spans="1:11">
      <c r="A118" s="1178"/>
      <c r="B118" s="1178"/>
      <c r="C118" s="1231"/>
      <c r="D118" s="1231"/>
      <c r="E118" s="1178"/>
      <c r="F118" s="1234"/>
      <c r="G118" s="1178"/>
      <c r="H118" s="1178"/>
      <c r="I118" s="1178"/>
      <c r="J118" s="1178"/>
      <c r="K118" s="1178"/>
    </row>
    <row r="119" spans="1:11">
      <c r="A119" s="1178"/>
      <c r="B119" s="1178"/>
      <c r="C119" s="1231"/>
      <c r="D119" s="1231"/>
      <c r="E119" s="1178"/>
      <c r="F119" s="1234"/>
      <c r="G119" s="1178"/>
      <c r="H119" s="1178"/>
      <c r="I119" s="1178"/>
      <c r="J119" s="1178"/>
      <c r="K119" s="1178"/>
    </row>
    <row r="120" spans="1:11">
      <c r="A120" s="1178"/>
      <c r="B120" s="1178"/>
      <c r="C120" s="1231"/>
      <c r="D120" s="1231"/>
      <c r="E120" s="1178"/>
      <c r="F120" s="1234"/>
      <c r="G120" s="1178"/>
      <c r="H120" s="1178"/>
      <c r="I120" s="1178"/>
      <c r="J120" s="1178"/>
      <c r="K120" s="1178"/>
    </row>
    <row r="121" spans="1:11">
      <c r="A121" s="1178"/>
      <c r="B121" s="1178"/>
      <c r="C121" s="1231"/>
      <c r="D121" s="1231"/>
      <c r="E121" s="1178"/>
      <c r="F121" s="1234"/>
      <c r="G121" s="1178"/>
      <c r="H121" s="1178"/>
      <c r="I121" s="1178"/>
      <c r="J121" s="1178"/>
      <c r="K121" s="1178"/>
    </row>
    <row r="122" spans="1:11">
      <c r="A122" s="1178"/>
      <c r="B122" s="1178"/>
      <c r="C122" s="1231"/>
      <c r="D122" s="1231"/>
      <c r="E122" s="1178"/>
      <c r="F122" s="1234"/>
      <c r="G122" s="1178"/>
      <c r="H122" s="1178"/>
      <c r="I122" s="1178"/>
      <c r="J122" s="1178"/>
      <c r="K122" s="1178"/>
    </row>
    <row r="123" spans="1:11">
      <c r="A123" s="1178"/>
      <c r="B123" s="1178"/>
      <c r="C123" s="1231"/>
      <c r="D123" s="1231"/>
      <c r="E123" s="1178"/>
      <c r="F123" s="1234"/>
      <c r="G123" s="1178"/>
      <c r="H123" s="1178"/>
      <c r="I123" s="1178"/>
      <c r="J123" s="1178"/>
      <c r="K123" s="1178"/>
    </row>
    <row r="124" spans="1:11">
      <c r="A124" s="1178"/>
      <c r="B124" s="1178"/>
      <c r="C124" s="1231"/>
      <c r="D124" s="1231"/>
      <c r="E124" s="1178"/>
      <c r="F124" s="1234"/>
      <c r="G124" s="1178"/>
      <c r="H124" s="1178"/>
      <c r="I124" s="1178"/>
      <c r="J124" s="1178"/>
      <c r="K124" s="1178"/>
    </row>
    <row r="125" spans="1:11">
      <c r="A125" s="1178"/>
      <c r="B125" s="1178"/>
      <c r="C125" s="1231"/>
      <c r="D125" s="1231"/>
      <c r="E125" s="1178"/>
      <c r="F125" s="1234"/>
      <c r="G125" s="1178"/>
      <c r="H125" s="1178"/>
      <c r="I125" s="1178"/>
      <c r="J125" s="1178"/>
      <c r="K125" s="1178"/>
    </row>
    <row r="126" spans="1:11">
      <c r="A126" s="1178"/>
      <c r="B126" s="1178"/>
      <c r="C126" s="1231"/>
      <c r="D126" s="1231"/>
      <c r="E126" s="1178"/>
      <c r="F126" s="1234"/>
      <c r="G126" s="1178"/>
      <c r="H126" s="1178"/>
      <c r="I126" s="1178"/>
      <c r="J126" s="1178"/>
      <c r="K126" s="1178"/>
    </row>
    <row r="127" spans="1:11">
      <c r="A127" s="1178"/>
      <c r="B127" s="1178"/>
      <c r="C127" s="1231"/>
      <c r="D127" s="1231"/>
      <c r="E127" s="1178"/>
      <c r="F127" s="1234"/>
      <c r="G127" s="1178"/>
      <c r="H127" s="1178"/>
      <c r="I127" s="1178"/>
      <c r="J127" s="1178"/>
      <c r="K127" s="1178"/>
    </row>
    <row r="128" spans="1:11">
      <c r="A128" s="1178"/>
      <c r="B128" s="1178"/>
      <c r="C128" s="1231"/>
      <c r="D128" s="1231"/>
      <c r="E128" s="1178"/>
      <c r="F128" s="1234"/>
      <c r="G128" s="1178"/>
      <c r="H128" s="1178"/>
      <c r="I128" s="1178"/>
      <c r="J128" s="1178"/>
      <c r="K128" s="1178"/>
    </row>
    <row r="129" spans="1:11">
      <c r="A129" s="1178"/>
      <c r="B129" s="1178"/>
      <c r="C129" s="1231"/>
      <c r="D129" s="1231"/>
      <c r="E129" s="1178"/>
      <c r="F129" s="1234"/>
      <c r="G129" s="1178"/>
      <c r="H129" s="1178"/>
      <c r="I129" s="1178"/>
      <c r="J129" s="1178"/>
      <c r="K129" s="1178"/>
    </row>
    <row r="130" spans="1:11">
      <c r="A130" s="1178"/>
      <c r="B130" s="1178"/>
      <c r="C130" s="1231"/>
      <c r="D130" s="1231"/>
      <c r="E130" s="1178"/>
      <c r="F130" s="1234"/>
      <c r="G130" s="1178"/>
      <c r="H130" s="1178"/>
      <c r="I130" s="1178"/>
      <c r="J130" s="1178"/>
      <c r="K130" s="1178"/>
    </row>
    <row r="131" spans="1:11">
      <c r="A131" s="1178"/>
      <c r="B131" s="1178"/>
      <c r="C131" s="1231"/>
      <c r="D131" s="1231"/>
      <c r="E131" s="1178"/>
      <c r="F131" s="1234"/>
      <c r="G131" s="1178"/>
      <c r="H131" s="1178"/>
      <c r="I131" s="1178"/>
      <c r="J131" s="1178"/>
      <c r="K131" s="1178"/>
    </row>
    <row r="132" spans="1:11">
      <c r="A132" s="1178"/>
      <c r="B132" s="1178"/>
      <c r="C132" s="1231"/>
      <c r="D132" s="1231"/>
      <c r="E132" s="1178"/>
      <c r="F132" s="1234"/>
      <c r="G132" s="1178"/>
      <c r="H132" s="1178"/>
      <c r="I132" s="1178"/>
      <c r="J132" s="1178"/>
      <c r="K132" s="1178"/>
    </row>
    <row r="133" spans="1:11">
      <c r="A133" s="1178"/>
      <c r="B133" s="1178"/>
      <c r="C133" s="1231"/>
      <c r="D133" s="1231"/>
      <c r="E133" s="1178"/>
      <c r="F133" s="1234"/>
      <c r="G133" s="1178"/>
      <c r="H133" s="1178"/>
      <c r="I133" s="1178"/>
      <c r="J133" s="1178"/>
      <c r="K133" s="1178"/>
    </row>
    <row r="134" spans="1:11">
      <c r="A134" s="1178"/>
      <c r="B134" s="1178"/>
      <c r="C134" s="1231"/>
      <c r="D134" s="1231"/>
      <c r="E134" s="1178"/>
      <c r="F134" s="1234"/>
      <c r="G134" s="1178"/>
      <c r="H134" s="1178"/>
      <c r="I134" s="1178"/>
      <c r="J134" s="1178"/>
      <c r="K134" s="1178"/>
    </row>
    <row r="135" spans="1:11">
      <c r="A135" s="1178"/>
      <c r="B135" s="1178"/>
      <c r="C135" s="1231"/>
      <c r="D135" s="1231"/>
      <c r="E135" s="1178"/>
      <c r="F135" s="1234"/>
      <c r="G135" s="1178"/>
      <c r="H135" s="1178"/>
      <c r="I135" s="1178"/>
      <c r="J135" s="1178"/>
      <c r="K135" s="1178"/>
    </row>
    <row r="136" spans="1:11">
      <c r="A136" s="1178"/>
      <c r="B136" s="1178"/>
      <c r="C136" s="1231"/>
      <c r="D136" s="1231"/>
      <c r="E136" s="1178"/>
      <c r="F136" s="1234"/>
      <c r="G136" s="1178"/>
      <c r="H136" s="1178"/>
      <c r="I136" s="1178"/>
      <c r="J136" s="1178"/>
      <c r="K136" s="1178"/>
    </row>
    <row r="137" spans="1:11">
      <c r="A137" s="1178"/>
      <c r="B137" s="1178"/>
      <c r="C137" s="1231"/>
      <c r="D137" s="1231"/>
      <c r="E137" s="1178"/>
      <c r="F137" s="1234"/>
      <c r="G137" s="1178"/>
      <c r="H137" s="1178"/>
      <c r="I137" s="1178"/>
      <c r="J137" s="1178"/>
      <c r="K137" s="1178"/>
    </row>
    <row r="138" spans="1:11">
      <c r="A138" s="1178"/>
      <c r="B138" s="1178"/>
      <c r="C138" s="1231"/>
      <c r="D138" s="1231"/>
      <c r="E138" s="1178"/>
      <c r="F138" s="1234"/>
      <c r="G138" s="1178"/>
      <c r="H138" s="1178"/>
      <c r="I138" s="1178"/>
      <c r="J138" s="1178"/>
      <c r="K138" s="1178"/>
    </row>
    <row r="139" spans="1:11">
      <c r="A139" s="1178"/>
      <c r="B139" s="1178"/>
      <c r="C139" s="1231"/>
      <c r="D139" s="1231"/>
      <c r="E139" s="1178"/>
      <c r="F139" s="1234"/>
      <c r="G139" s="1178"/>
      <c r="H139" s="1178"/>
      <c r="I139" s="1178"/>
      <c r="J139" s="1178"/>
      <c r="K139" s="1178"/>
    </row>
    <row r="140" spans="1:11">
      <c r="A140" s="1178"/>
      <c r="B140" s="1178"/>
      <c r="C140" s="1231"/>
      <c r="D140" s="1231"/>
      <c r="E140" s="1178"/>
      <c r="F140" s="1234"/>
      <c r="G140" s="1178"/>
      <c r="H140" s="1178"/>
      <c r="I140" s="1178"/>
      <c r="J140" s="1178"/>
      <c r="K140" s="1178"/>
    </row>
    <row r="141" spans="1:11">
      <c r="A141" s="1178"/>
      <c r="B141" s="1178"/>
      <c r="C141" s="1231"/>
      <c r="D141" s="1231"/>
      <c r="E141" s="1178"/>
      <c r="F141" s="1234"/>
      <c r="G141" s="1178"/>
      <c r="H141" s="1178"/>
      <c r="I141" s="1178"/>
      <c r="J141" s="1178"/>
      <c r="K141" s="1178"/>
    </row>
    <row r="142" spans="1:11">
      <c r="A142" s="1178"/>
      <c r="B142" s="1178"/>
      <c r="C142" s="1231"/>
      <c r="D142" s="1231"/>
      <c r="E142" s="1178"/>
      <c r="F142" s="1234"/>
      <c r="G142" s="1178"/>
      <c r="H142" s="1178"/>
      <c r="I142" s="1178"/>
      <c r="J142" s="1178"/>
      <c r="K142" s="1178"/>
    </row>
    <row r="143" spans="1:11">
      <c r="A143" s="1178"/>
      <c r="B143" s="1178"/>
      <c r="C143" s="1231"/>
      <c r="D143" s="1231"/>
      <c r="E143" s="1178"/>
      <c r="F143" s="1234"/>
      <c r="G143" s="1178"/>
      <c r="H143" s="1178"/>
      <c r="I143" s="1178"/>
      <c r="J143" s="1178"/>
      <c r="K143" s="1178"/>
    </row>
    <row r="144" spans="1:11">
      <c r="A144" s="1178"/>
      <c r="B144" s="1178"/>
      <c r="C144" s="1231"/>
      <c r="D144" s="1231"/>
      <c r="E144" s="1178"/>
      <c r="F144" s="1234"/>
      <c r="G144" s="1178"/>
      <c r="H144" s="1178"/>
      <c r="I144" s="1178"/>
      <c r="J144" s="1178"/>
      <c r="K144" s="1178"/>
    </row>
    <row r="145" spans="1:11">
      <c r="A145" s="1178"/>
      <c r="B145" s="1178"/>
      <c r="C145" s="1231"/>
      <c r="D145" s="1231"/>
      <c r="E145" s="1178"/>
      <c r="F145" s="1234"/>
      <c r="G145" s="1178"/>
      <c r="H145" s="1178"/>
      <c r="I145" s="1178"/>
      <c r="J145" s="1178"/>
      <c r="K145" s="1178"/>
    </row>
    <row r="146" spans="1:11">
      <c r="A146" s="1178"/>
      <c r="B146" s="1178"/>
      <c r="C146" s="1231"/>
      <c r="D146" s="1231"/>
      <c r="E146" s="1178"/>
      <c r="F146" s="1234"/>
      <c r="G146" s="1178"/>
      <c r="H146" s="1178"/>
      <c r="I146" s="1178"/>
      <c r="J146" s="1178"/>
      <c r="K146" s="1178"/>
    </row>
    <row r="147" spans="1:11">
      <c r="A147" s="1178"/>
      <c r="B147" s="1178"/>
      <c r="C147" s="1231"/>
      <c r="D147" s="1231"/>
      <c r="E147" s="1178"/>
      <c r="F147" s="1234"/>
      <c r="G147" s="1178"/>
      <c r="H147" s="1178"/>
      <c r="I147" s="1178"/>
      <c r="J147" s="1178"/>
      <c r="K147" s="1178"/>
    </row>
    <row r="148" spans="1:11">
      <c r="A148" s="1178"/>
      <c r="B148" s="1178"/>
      <c r="C148" s="1231"/>
      <c r="D148" s="1231"/>
      <c r="E148" s="1178"/>
      <c r="F148" s="1234"/>
      <c r="G148" s="1178"/>
      <c r="H148" s="1178"/>
      <c r="I148" s="1178"/>
      <c r="J148" s="1178"/>
      <c r="K148" s="1178"/>
    </row>
    <row r="149" spans="1:11">
      <c r="A149" s="1178"/>
      <c r="B149" s="1178"/>
      <c r="C149" s="1231"/>
      <c r="D149" s="1231"/>
      <c r="E149" s="1178"/>
      <c r="F149" s="1234"/>
      <c r="G149" s="1178"/>
      <c r="H149" s="1178"/>
      <c r="I149" s="1178"/>
      <c r="J149" s="1178"/>
      <c r="K149" s="1178"/>
    </row>
    <row r="150" spans="1:11">
      <c r="A150" s="1178"/>
      <c r="B150" s="1178"/>
      <c r="C150" s="1231"/>
      <c r="D150" s="1231"/>
      <c r="E150" s="1178"/>
      <c r="F150" s="1234"/>
      <c r="G150" s="1178"/>
      <c r="H150" s="1178"/>
      <c r="I150" s="1178"/>
      <c r="J150" s="1178"/>
      <c r="K150" s="1178"/>
    </row>
    <row r="151" spans="1:11">
      <c r="A151" s="1178"/>
      <c r="B151" s="1178"/>
      <c r="C151" s="1231"/>
      <c r="D151" s="1231"/>
      <c r="E151" s="1178"/>
      <c r="F151" s="1234"/>
      <c r="G151" s="1178"/>
      <c r="H151" s="1178"/>
      <c r="I151" s="1178"/>
      <c r="J151" s="1178"/>
      <c r="K151" s="1178"/>
    </row>
    <row r="152" spans="1:11">
      <c r="A152" s="1178"/>
      <c r="B152" s="1178"/>
      <c r="C152" s="1231"/>
      <c r="D152" s="1231"/>
      <c r="E152" s="1178"/>
      <c r="F152" s="1234"/>
      <c r="G152" s="1178"/>
      <c r="H152" s="1178"/>
      <c r="I152" s="1178"/>
      <c r="J152" s="1178"/>
      <c r="K152" s="1178"/>
    </row>
    <row r="153" spans="1:11">
      <c r="A153" s="1178"/>
      <c r="B153" s="1178"/>
      <c r="C153" s="1231"/>
      <c r="D153" s="1231"/>
      <c r="E153" s="1178"/>
      <c r="F153" s="1234"/>
      <c r="G153" s="1178"/>
      <c r="H153" s="1178"/>
      <c r="I153" s="1178"/>
      <c r="J153" s="1178"/>
      <c r="K153" s="1178"/>
    </row>
    <row r="154" spans="1:11">
      <c r="A154" s="1178"/>
      <c r="B154" s="1178"/>
      <c r="C154" s="1231"/>
      <c r="D154" s="1231"/>
      <c r="E154" s="1178"/>
      <c r="F154" s="1234"/>
      <c r="G154" s="1178"/>
      <c r="H154" s="1178"/>
      <c r="I154" s="1178"/>
      <c r="J154" s="1178"/>
      <c r="K154" s="1178"/>
    </row>
    <row r="155" spans="1:11">
      <c r="A155" s="1178"/>
      <c r="B155" s="1178"/>
      <c r="C155" s="1231"/>
      <c r="D155" s="1231"/>
      <c r="E155" s="1178"/>
      <c r="F155" s="1234"/>
      <c r="G155" s="1178"/>
      <c r="H155" s="1178"/>
      <c r="I155" s="1178"/>
      <c r="J155" s="1178"/>
      <c r="K155" s="1178"/>
    </row>
    <row r="156" spans="1:11">
      <c r="A156" s="1178"/>
      <c r="B156" s="1178"/>
      <c r="C156" s="1231"/>
      <c r="D156" s="1231"/>
      <c r="E156" s="1178"/>
      <c r="F156" s="1234"/>
      <c r="G156" s="1178"/>
      <c r="H156" s="1178"/>
      <c r="I156" s="1178"/>
      <c r="J156" s="1178"/>
      <c r="K156" s="1178"/>
    </row>
    <row r="157" spans="1:11">
      <c r="A157" s="1178"/>
      <c r="B157" s="1178"/>
      <c r="C157" s="1231"/>
      <c r="D157" s="1231"/>
      <c r="E157" s="1178"/>
      <c r="F157" s="1234"/>
      <c r="G157" s="1178"/>
      <c r="H157" s="1178"/>
      <c r="I157" s="1178"/>
      <c r="J157" s="1178"/>
      <c r="K157" s="1178"/>
    </row>
    <row r="158" spans="1:11">
      <c r="A158" s="1178"/>
      <c r="B158" s="1178"/>
      <c r="C158" s="1231"/>
      <c r="D158" s="1231"/>
      <c r="E158" s="1178"/>
      <c r="F158" s="1234"/>
      <c r="G158" s="1178"/>
      <c r="H158" s="1178"/>
      <c r="I158" s="1178"/>
      <c r="J158" s="1178"/>
      <c r="K158" s="1178"/>
    </row>
    <row r="159" spans="1:11">
      <c r="A159" s="1178"/>
      <c r="B159" s="1178"/>
      <c r="C159" s="1231"/>
      <c r="D159" s="1231"/>
      <c r="E159" s="1178"/>
      <c r="F159" s="1234"/>
      <c r="G159" s="1178"/>
      <c r="H159" s="1178"/>
      <c r="I159" s="1178"/>
      <c r="J159" s="1178"/>
      <c r="K159" s="1178"/>
    </row>
    <row r="160" spans="1:11">
      <c r="A160" s="1178"/>
      <c r="B160" s="1178"/>
      <c r="C160" s="1231"/>
      <c r="D160" s="1231"/>
      <c r="E160" s="1178"/>
      <c r="F160" s="1234"/>
      <c r="G160" s="1178"/>
      <c r="H160" s="1178"/>
      <c r="I160" s="1178"/>
      <c r="J160" s="1178"/>
      <c r="K160" s="1178"/>
    </row>
    <row r="161" spans="1:11">
      <c r="A161" s="1178"/>
      <c r="B161" s="1178"/>
      <c r="C161" s="1231"/>
      <c r="D161" s="1231"/>
      <c r="E161" s="1178"/>
      <c r="F161" s="1234"/>
      <c r="G161" s="1178"/>
      <c r="H161" s="1178"/>
      <c r="I161" s="1178"/>
      <c r="J161" s="1178"/>
      <c r="K161" s="1178"/>
    </row>
    <row r="162" spans="1:11">
      <c r="A162" s="1178"/>
      <c r="B162" s="1178"/>
      <c r="C162" s="1231"/>
      <c r="D162" s="1231"/>
      <c r="E162" s="1178"/>
      <c r="F162" s="1234"/>
      <c r="G162" s="1178"/>
      <c r="H162" s="1178"/>
      <c r="I162" s="1178"/>
      <c r="J162" s="1178"/>
      <c r="K162" s="1178"/>
    </row>
    <row r="163" spans="1:11">
      <c r="A163" s="1178"/>
      <c r="B163" s="1178"/>
      <c r="C163" s="1231"/>
      <c r="D163" s="1231"/>
      <c r="E163" s="1178"/>
      <c r="F163" s="1234"/>
      <c r="G163" s="1178"/>
      <c r="H163" s="1178"/>
      <c r="I163" s="1178"/>
      <c r="J163" s="1178"/>
      <c r="K163" s="1178"/>
    </row>
    <row r="164" spans="1:11">
      <c r="A164" s="1178"/>
      <c r="B164" s="1178"/>
      <c r="C164" s="1231"/>
      <c r="D164" s="1231"/>
      <c r="E164" s="1178"/>
      <c r="F164" s="1234"/>
      <c r="G164" s="1178"/>
      <c r="H164" s="1178"/>
      <c r="I164" s="1178"/>
      <c r="J164" s="1178"/>
      <c r="K164" s="1178"/>
    </row>
    <row r="165" spans="1:11">
      <c r="A165" s="1178"/>
      <c r="B165" s="1178"/>
      <c r="C165" s="1231"/>
      <c r="D165" s="1231"/>
      <c r="E165" s="1178"/>
      <c r="F165" s="1234"/>
      <c r="G165" s="1178"/>
      <c r="H165" s="1178"/>
      <c r="I165" s="1178"/>
      <c r="J165" s="1178"/>
      <c r="K165" s="1178"/>
    </row>
    <row r="166" spans="1:11">
      <c r="A166" s="1178"/>
      <c r="B166" s="1178"/>
      <c r="C166" s="1231"/>
      <c r="D166" s="1231"/>
      <c r="E166" s="1178"/>
      <c r="F166" s="1234"/>
      <c r="G166" s="1178"/>
      <c r="H166" s="1178"/>
      <c r="I166" s="1178"/>
      <c r="J166" s="1178"/>
      <c r="K166" s="1178"/>
    </row>
    <row r="167" spans="1:11">
      <c r="A167" s="1178"/>
      <c r="B167" s="1178"/>
      <c r="C167" s="1231"/>
      <c r="D167" s="1231"/>
      <c r="E167" s="1178"/>
      <c r="F167" s="1234"/>
      <c r="G167" s="1178"/>
      <c r="H167" s="1178"/>
      <c r="I167" s="1178"/>
      <c r="J167" s="1178"/>
      <c r="K167" s="1178"/>
    </row>
    <row r="168" spans="1:11">
      <c r="A168" s="1178"/>
      <c r="B168" s="1178"/>
      <c r="C168" s="1231"/>
      <c r="D168" s="1231"/>
      <c r="E168" s="1178"/>
      <c r="F168" s="1234"/>
      <c r="G168" s="1178"/>
      <c r="H168" s="1178"/>
      <c r="I168" s="1178"/>
      <c r="J168" s="1178"/>
      <c r="K168" s="1178"/>
    </row>
    <row r="169" spans="1:11">
      <c r="A169" s="1178"/>
      <c r="B169" s="1178"/>
      <c r="C169" s="1231"/>
      <c r="D169" s="1231"/>
      <c r="E169" s="1178"/>
      <c r="F169" s="1234"/>
      <c r="G169" s="1178"/>
      <c r="H169" s="1178"/>
      <c r="I169" s="1178"/>
      <c r="J169" s="1178"/>
      <c r="K169" s="1178"/>
    </row>
    <row r="170" spans="1:11">
      <c r="A170" s="1178"/>
      <c r="B170" s="1178"/>
      <c r="C170" s="1231"/>
      <c r="D170" s="1231"/>
      <c r="E170" s="1178"/>
      <c r="F170" s="1234"/>
      <c r="G170" s="1178"/>
      <c r="H170" s="1178"/>
      <c r="I170" s="1178"/>
      <c r="J170" s="1178"/>
      <c r="K170" s="1178"/>
    </row>
    <row r="171" spans="1:11">
      <c r="A171" s="1178"/>
      <c r="B171" s="1178"/>
      <c r="C171" s="1231"/>
      <c r="D171" s="1231"/>
      <c r="E171" s="1178"/>
      <c r="F171" s="1234"/>
      <c r="G171" s="1178"/>
      <c r="H171" s="1178"/>
      <c r="I171" s="1178"/>
      <c r="J171" s="1178"/>
      <c r="K171" s="1178"/>
    </row>
    <row r="172" spans="1:11">
      <c r="A172" s="1178"/>
      <c r="B172" s="1178"/>
      <c r="C172" s="1231"/>
      <c r="D172" s="1231"/>
      <c r="E172" s="1178"/>
      <c r="F172" s="1234"/>
      <c r="G172" s="1178"/>
      <c r="H172" s="1178"/>
      <c r="I172" s="1178"/>
      <c r="J172" s="1178"/>
      <c r="K172" s="1178"/>
    </row>
    <row r="173" spans="1:11">
      <c r="A173" s="1178"/>
      <c r="B173" s="1178"/>
      <c r="C173" s="1231"/>
      <c r="D173" s="1231"/>
      <c r="E173" s="1178"/>
      <c r="F173" s="1234"/>
      <c r="G173" s="1178"/>
      <c r="H173" s="1178"/>
      <c r="I173" s="1178"/>
      <c r="J173" s="1178"/>
      <c r="K173" s="1178"/>
    </row>
    <row r="174" spans="1:11">
      <c r="A174" s="1178"/>
      <c r="B174" s="1178"/>
      <c r="C174" s="1231"/>
      <c r="D174" s="1231"/>
      <c r="E174" s="1178"/>
      <c r="F174" s="1234"/>
      <c r="G174" s="1178"/>
      <c r="H174" s="1178"/>
      <c r="I174" s="1178"/>
      <c r="J174" s="1178"/>
      <c r="K174" s="1178"/>
    </row>
    <row r="175" spans="1:11">
      <c r="A175" s="1178"/>
      <c r="B175" s="1178"/>
      <c r="C175" s="1231"/>
      <c r="D175" s="1231"/>
      <c r="E175" s="1178"/>
      <c r="F175" s="1234"/>
      <c r="G175" s="1178"/>
      <c r="H175" s="1178"/>
      <c r="I175" s="1178"/>
      <c r="J175" s="1178"/>
      <c r="K175" s="1178"/>
    </row>
    <row r="176" spans="1:11">
      <c r="A176" s="1178"/>
      <c r="B176" s="1178"/>
      <c r="C176" s="1231"/>
      <c r="D176" s="1231"/>
      <c r="E176" s="1178"/>
      <c r="F176" s="1234"/>
      <c r="G176" s="1178"/>
      <c r="H176" s="1178"/>
      <c r="I176" s="1178"/>
      <c r="J176" s="1178"/>
      <c r="K176" s="1178"/>
    </row>
    <row r="177" spans="1:11">
      <c r="A177" s="1178"/>
      <c r="B177" s="1178"/>
      <c r="C177" s="1231"/>
      <c r="D177" s="1231"/>
      <c r="E177" s="1178"/>
      <c r="F177" s="1234"/>
      <c r="G177" s="1178"/>
      <c r="H177" s="1178"/>
      <c r="I177" s="1178"/>
      <c r="J177" s="1178"/>
      <c r="K177" s="1178"/>
    </row>
    <row r="178" spans="1:11">
      <c r="A178" s="1178"/>
      <c r="B178" s="1178"/>
      <c r="C178" s="1231"/>
      <c r="D178" s="1231"/>
      <c r="E178" s="1178"/>
      <c r="F178" s="1178"/>
      <c r="G178" s="1178"/>
      <c r="H178" s="1178"/>
      <c r="I178" s="1178"/>
      <c r="J178" s="1178"/>
      <c r="K178" s="1178"/>
    </row>
    <row r="179" spans="1:11">
      <c r="A179" s="1178"/>
      <c r="B179" s="1178"/>
      <c r="C179" s="1231"/>
      <c r="D179" s="1231"/>
      <c r="E179" s="1178"/>
      <c r="F179" s="1178"/>
      <c r="G179" s="1178"/>
      <c r="H179" s="1178"/>
      <c r="I179" s="1178"/>
      <c r="J179" s="1178"/>
      <c r="K179" s="1178"/>
    </row>
    <row r="180" spans="1:11">
      <c r="A180" s="1178"/>
      <c r="B180" s="1178"/>
      <c r="C180" s="1231"/>
      <c r="D180" s="1231"/>
      <c r="E180" s="1178"/>
      <c r="F180" s="1178"/>
      <c r="G180" s="1178"/>
      <c r="H180" s="1178"/>
      <c r="I180" s="1178"/>
      <c r="J180" s="1178"/>
      <c r="K180" s="1178"/>
    </row>
    <row r="181" spans="1:11">
      <c r="A181" s="1178"/>
      <c r="B181" s="1178"/>
      <c r="C181" s="1231"/>
      <c r="D181" s="1231"/>
      <c r="E181" s="1178"/>
      <c r="F181" s="1178"/>
      <c r="G181" s="1178"/>
      <c r="H181" s="1178"/>
      <c r="I181" s="1178"/>
      <c r="J181" s="1178"/>
      <c r="K181" s="1178"/>
    </row>
    <row r="182" spans="1:11">
      <c r="C182" s="1231"/>
      <c r="D182" s="1231"/>
    </row>
    <row r="183" spans="1:11">
      <c r="C183" s="1231"/>
      <c r="D183" s="1231"/>
    </row>
    <row r="184" spans="1:11">
      <c r="C184" s="1231"/>
      <c r="D184" s="1231"/>
    </row>
    <row r="185" spans="1:11">
      <c r="C185" s="1231"/>
      <c r="D185" s="1231"/>
    </row>
    <row r="186" spans="1:11">
      <c r="C186" s="1231"/>
      <c r="D186" s="1231"/>
    </row>
    <row r="187" spans="1:11">
      <c r="C187" s="1231"/>
      <c r="D187" s="1231"/>
    </row>
    <row r="188" spans="1:11">
      <c r="C188" s="1231"/>
      <c r="D188" s="1231"/>
    </row>
    <row r="189" spans="1:11">
      <c r="C189" s="1231"/>
      <c r="D189" s="1231"/>
    </row>
    <row r="190" spans="1:11">
      <c r="C190" s="1231"/>
      <c r="D190" s="1231"/>
    </row>
    <row r="191" spans="1:11">
      <c r="C191" s="1231"/>
      <c r="D191" s="1231"/>
    </row>
    <row r="192" spans="1:11">
      <c r="C192" s="1231"/>
      <c r="D192" s="1231"/>
    </row>
    <row r="193" spans="3:4">
      <c r="C193" s="1231"/>
      <c r="D193" s="1231"/>
    </row>
    <row r="194" spans="3:4">
      <c r="C194" s="1231"/>
      <c r="D194" s="1231"/>
    </row>
    <row r="195" spans="3:4">
      <c r="C195" s="1231"/>
      <c r="D195" s="1231"/>
    </row>
    <row r="196" spans="3:4">
      <c r="C196" s="1231"/>
      <c r="D196" s="1231"/>
    </row>
    <row r="197" spans="3:4">
      <c r="C197" s="1231"/>
      <c r="D197" s="1231"/>
    </row>
    <row r="198" spans="3:4">
      <c r="C198" s="1231"/>
      <c r="D198" s="1231"/>
    </row>
    <row r="199" spans="3:4">
      <c r="C199" s="1231"/>
      <c r="D199" s="1231"/>
    </row>
    <row r="200" spans="3:4">
      <c r="C200" s="1231"/>
      <c r="D200" s="1231"/>
    </row>
    <row r="201" spans="3:4">
      <c r="C201" s="1231"/>
      <c r="D201" s="1231"/>
    </row>
    <row r="202" spans="3:4">
      <c r="C202" s="1231"/>
      <c r="D202" s="1231"/>
    </row>
    <row r="203" spans="3:4">
      <c r="C203" s="1231"/>
      <c r="D203" s="1231"/>
    </row>
    <row r="204" spans="3:4">
      <c r="C204" s="1231"/>
      <c r="D204" s="1231"/>
    </row>
    <row r="205" spans="3:4">
      <c r="C205" s="1231"/>
      <c r="D205" s="1231"/>
    </row>
    <row r="206" spans="3:4">
      <c r="C206" s="1231"/>
      <c r="D206" s="1231"/>
    </row>
    <row r="207" spans="3:4">
      <c r="C207" s="1231"/>
      <c r="D207" s="1231"/>
    </row>
    <row r="208" spans="3:4">
      <c r="C208" s="1231"/>
      <c r="D208" s="1231"/>
    </row>
    <row r="209" spans="3:4">
      <c r="C209" s="1231"/>
      <c r="D209" s="1231"/>
    </row>
    <row r="210" spans="3:4">
      <c r="C210" s="1231"/>
      <c r="D210" s="1231"/>
    </row>
    <row r="211" spans="3:4">
      <c r="C211" s="1231"/>
      <c r="D211" s="1231"/>
    </row>
    <row r="212" spans="3:4">
      <c r="C212" s="1231"/>
      <c r="D212" s="1231"/>
    </row>
    <row r="213" spans="3:4">
      <c r="C213" s="1231"/>
      <c r="D213" s="1231"/>
    </row>
    <row r="214" spans="3:4">
      <c r="C214" s="1231"/>
      <c r="D214" s="1231"/>
    </row>
    <row r="215" spans="3:4">
      <c r="C215" s="1231"/>
      <c r="D215" s="1231"/>
    </row>
    <row r="216" spans="3:4">
      <c r="C216" s="1231"/>
      <c r="D216" s="1231"/>
    </row>
    <row r="217" spans="3:4">
      <c r="C217" s="1231"/>
      <c r="D217" s="1231"/>
    </row>
    <row r="218" spans="3:4">
      <c r="C218" s="1231"/>
      <c r="D218" s="1231"/>
    </row>
    <row r="219" spans="3:4">
      <c r="C219" s="1231"/>
      <c r="D219" s="1231"/>
    </row>
    <row r="220" spans="3:4">
      <c r="C220" s="1231"/>
      <c r="D220" s="1231"/>
    </row>
    <row r="221" spans="3:4">
      <c r="C221" s="1231"/>
      <c r="D221" s="1231"/>
    </row>
    <row r="222" spans="3:4">
      <c r="C222" s="1231"/>
      <c r="D222" s="1231"/>
    </row>
    <row r="223" spans="3:4">
      <c r="C223" s="1231"/>
      <c r="D223" s="1231"/>
    </row>
    <row r="224" spans="3:4">
      <c r="C224" s="1231"/>
      <c r="D224" s="1231"/>
    </row>
    <row r="225" spans="3:4">
      <c r="C225" s="1231"/>
      <c r="D225" s="1231"/>
    </row>
    <row r="226" spans="3:4">
      <c r="C226" s="1231"/>
      <c r="D226" s="1231"/>
    </row>
    <row r="227" spans="3:4">
      <c r="C227" s="1231"/>
      <c r="D227" s="1231"/>
    </row>
    <row r="228" spans="3:4">
      <c r="C228" s="1231"/>
      <c r="D228" s="1231"/>
    </row>
    <row r="229" spans="3:4">
      <c r="C229" s="1231"/>
      <c r="D229" s="1231"/>
    </row>
    <row r="230" spans="3:4">
      <c r="C230" s="1231"/>
      <c r="D230" s="1231"/>
    </row>
    <row r="231" spans="3:4">
      <c r="C231" s="1231"/>
      <c r="D231" s="1231"/>
    </row>
    <row r="232" spans="3:4">
      <c r="C232" s="1231"/>
      <c r="D232" s="1231"/>
    </row>
    <row r="233" spans="3:4">
      <c r="C233" s="1231"/>
      <c r="D233" s="1231"/>
    </row>
    <row r="234" spans="3:4">
      <c r="C234" s="1231"/>
      <c r="D234" s="1231"/>
    </row>
    <row r="235" spans="3:4">
      <c r="C235" s="1231"/>
      <c r="D235" s="1231"/>
    </row>
    <row r="236" spans="3:4">
      <c r="C236" s="1231"/>
      <c r="D236" s="1231"/>
    </row>
    <row r="237" spans="3:4">
      <c r="C237" s="1231"/>
      <c r="D237" s="1231"/>
    </row>
    <row r="238" spans="3:4">
      <c r="C238" s="1231"/>
      <c r="D238" s="1231"/>
    </row>
    <row r="239" spans="3:4">
      <c r="C239" s="1231"/>
      <c r="D239" s="1231"/>
    </row>
    <row r="240" spans="3:4">
      <c r="C240" s="1231"/>
      <c r="D240" s="1231"/>
    </row>
    <row r="241" spans="3:4">
      <c r="C241" s="1231"/>
      <c r="D241" s="1231"/>
    </row>
    <row r="242" spans="3:4">
      <c r="C242" s="1231"/>
      <c r="D242" s="1231"/>
    </row>
    <row r="243" spans="3:4">
      <c r="C243" s="1231"/>
      <c r="D243" s="1231"/>
    </row>
    <row r="244" spans="3:4">
      <c r="C244" s="1231"/>
      <c r="D244" s="1231"/>
    </row>
    <row r="245" spans="3:4">
      <c r="C245" s="1231"/>
      <c r="D245" s="1231"/>
    </row>
    <row r="246" spans="3:4">
      <c r="C246" s="1231"/>
      <c r="D246" s="1231"/>
    </row>
    <row r="247" spans="3:4">
      <c r="C247" s="1231"/>
      <c r="D247" s="1231"/>
    </row>
    <row r="248" spans="3:4">
      <c r="C248" s="1231"/>
      <c r="D248" s="1231"/>
    </row>
    <row r="249" spans="3:4">
      <c r="C249" s="1231"/>
      <c r="D249" s="1231"/>
    </row>
    <row r="250" spans="3:4">
      <c r="C250" s="1231"/>
      <c r="D250" s="1231"/>
    </row>
    <row r="251" spans="3:4">
      <c r="C251" s="1231"/>
      <c r="D251" s="1231"/>
    </row>
    <row r="252" spans="3:4">
      <c r="C252" s="1231"/>
      <c r="D252" s="1231"/>
    </row>
    <row r="253" spans="3:4">
      <c r="C253" s="1231"/>
      <c r="D253" s="1231"/>
    </row>
    <row r="254" spans="3:4">
      <c r="C254" s="1231"/>
      <c r="D254" s="1231"/>
    </row>
    <row r="255" spans="3:4">
      <c r="C255" s="1231"/>
      <c r="D255" s="1231"/>
    </row>
    <row r="256" spans="3:4">
      <c r="C256" s="1231"/>
      <c r="D256" s="1231"/>
    </row>
    <row r="257" spans="3:4">
      <c r="C257" s="1231"/>
      <c r="D257" s="1231"/>
    </row>
    <row r="258" spans="3:4">
      <c r="C258" s="1231"/>
      <c r="D258" s="1231"/>
    </row>
    <row r="259" spans="3:4">
      <c r="C259" s="1231"/>
      <c r="D259" s="1231"/>
    </row>
    <row r="260" spans="3:4">
      <c r="C260" s="1231"/>
      <c r="D260" s="1231"/>
    </row>
    <row r="261" spans="3:4">
      <c r="C261" s="1231"/>
      <c r="D261" s="1231"/>
    </row>
    <row r="262" spans="3:4">
      <c r="C262" s="1231"/>
      <c r="D262" s="1231"/>
    </row>
    <row r="263" spans="3:4">
      <c r="C263" s="1231"/>
      <c r="D263" s="1231"/>
    </row>
    <row r="264" spans="3:4">
      <c r="C264" s="1231"/>
      <c r="D264" s="1231"/>
    </row>
    <row r="265" spans="3:4">
      <c r="C265" s="1231"/>
      <c r="D265" s="1231"/>
    </row>
    <row r="266" spans="3:4">
      <c r="C266" s="1231"/>
      <c r="D266" s="1231"/>
    </row>
    <row r="267" spans="3:4">
      <c r="C267" s="1231"/>
      <c r="D267" s="1231"/>
    </row>
    <row r="268" spans="3:4">
      <c r="C268" s="1231"/>
      <c r="D268" s="1231"/>
    </row>
    <row r="269" spans="3:4">
      <c r="C269" s="1231"/>
      <c r="D269" s="1231"/>
    </row>
    <row r="270" spans="3:4">
      <c r="C270" s="1231"/>
      <c r="D270" s="1231"/>
    </row>
    <row r="271" spans="3:4">
      <c r="C271" s="1231"/>
      <c r="D271" s="1231"/>
    </row>
    <row r="272" spans="3:4">
      <c r="C272" s="1231"/>
      <c r="D272" s="1231"/>
    </row>
    <row r="273" spans="3:4">
      <c r="C273" s="1231"/>
      <c r="D273" s="1231"/>
    </row>
    <row r="274" spans="3:4">
      <c r="C274" s="1231"/>
      <c r="D274" s="1231"/>
    </row>
    <row r="275" spans="3:4">
      <c r="C275" s="1231"/>
      <c r="D275" s="1231"/>
    </row>
    <row r="276" spans="3:4">
      <c r="C276" s="1231"/>
      <c r="D276" s="1231"/>
    </row>
    <row r="277" spans="3:4">
      <c r="C277" s="1231"/>
      <c r="D277" s="1231"/>
    </row>
    <row r="278" spans="3:4">
      <c r="C278" s="1231"/>
      <c r="D278" s="1231"/>
    </row>
    <row r="279" spans="3:4">
      <c r="C279" s="1231"/>
      <c r="D279" s="1231"/>
    </row>
    <row r="280" spans="3:4">
      <c r="C280" s="1231"/>
      <c r="D280" s="1231"/>
    </row>
    <row r="281" spans="3:4">
      <c r="C281" s="1231"/>
      <c r="D281" s="1231"/>
    </row>
    <row r="282" spans="3:4">
      <c r="C282" s="1231"/>
      <c r="D282" s="1231"/>
    </row>
    <row r="283" spans="3:4">
      <c r="C283" s="1231"/>
      <c r="D283" s="1231"/>
    </row>
    <row r="284" spans="3:4">
      <c r="C284" s="1231"/>
      <c r="D284" s="1231"/>
    </row>
    <row r="285" spans="3:4">
      <c r="C285" s="1231"/>
      <c r="D285" s="1231"/>
    </row>
    <row r="286" spans="3:4">
      <c r="C286" s="1231"/>
      <c r="D286" s="1231"/>
    </row>
    <row r="287" spans="3:4">
      <c r="C287" s="1231"/>
      <c r="D287" s="1231"/>
    </row>
    <row r="288" spans="3:4">
      <c r="C288" s="1231"/>
      <c r="D288" s="1231"/>
    </row>
    <row r="289" spans="3:4">
      <c r="C289" s="1231"/>
      <c r="D289" s="1231"/>
    </row>
    <row r="290" spans="3:4">
      <c r="C290" s="1231"/>
      <c r="D290" s="1231"/>
    </row>
    <row r="291" spans="3:4">
      <c r="C291" s="1231"/>
      <c r="D291" s="1231"/>
    </row>
    <row r="292" spans="3:4">
      <c r="C292" s="1231"/>
      <c r="D292" s="1231"/>
    </row>
    <row r="293" spans="3:4">
      <c r="C293" s="1231"/>
      <c r="D293" s="1231"/>
    </row>
    <row r="294" spans="3:4">
      <c r="C294" s="1231"/>
      <c r="D294" s="1231"/>
    </row>
    <row r="295" spans="3:4">
      <c r="C295" s="1231"/>
      <c r="D295" s="1231"/>
    </row>
    <row r="296" spans="3:4">
      <c r="C296" s="1231"/>
      <c r="D296" s="1231"/>
    </row>
    <row r="297" spans="3:4">
      <c r="C297" s="1231"/>
      <c r="D297" s="1231"/>
    </row>
    <row r="298" spans="3:4">
      <c r="C298" s="1231"/>
      <c r="D298" s="1231"/>
    </row>
    <row r="299" spans="3:4">
      <c r="C299" s="1231"/>
      <c r="D299" s="1231"/>
    </row>
    <row r="300" spans="3:4">
      <c r="C300" s="1231"/>
      <c r="D300" s="1231"/>
    </row>
    <row r="301" spans="3:4">
      <c r="C301" s="1231"/>
      <c r="D301" s="1231"/>
    </row>
    <row r="302" spans="3:4">
      <c r="C302" s="1231"/>
      <c r="D302" s="1231"/>
    </row>
    <row r="303" spans="3:4">
      <c r="C303" s="1231"/>
      <c r="D303" s="1231"/>
    </row>
    <row r="304" spans="3:4">
      <c r="C304" s="1231"/>
      <c r="D304" s="1231"/>
    </row>
    <row r="305" spans="3:4">
      <c r="C305" s="1231"/>
      <c r="D305" s="1231"/>
    </row>
    <row r="306" spans="3:4">
      <c r="C306" s="1231"/>
      <c r="D306" s="1231"/>
    </row>
    <row r="307" spans="3:4">
      <c r="C307" s="1231"/>
      <c r="D307" s="1231"/>
    </row>
    <row r="308" spans="3:4">
      <c r="C308" s="1231"/>
      <c r="D308" s="1231"/>
    </row>
    <row r="309" spans="3:4">
      <c r="C309" s="1231"/>
      <c r="D309" s="1231"/>
    </row>
    <row r="310" spans="3:4">
      <c r="C310" s="1231"/>
      <c r="D310" s="1231"/>
    </row>
    <row r="311" spans="3:4">
      <c r="C311" s="1231"/>
      <c r="D311" s="1231"/>
    </row>
    <row r="312" spans="3:4">
      <c r="C312" s="1231"/>
      <c r="D312" s="1231"/>
    </row>
    <row r="313" spans="3:4">
      <c r="C313" s="1231"/>
      <c r="D313" s="1231"/>
    </row>
    <row r="314" spans="3:4">
      <c r="C314" s="1231"/>
      <c r="D314" s="1231"/>
    </row>
    <row r="315" spans="3:4">
      <c r="C315" s="1231"/>
      <c r="D315" s="1231"/>
    </row>
    <row r="316" spans="3:4">
      <c r="C316" s="1231"/>
      <c r="D316" s="1231"/>
    </row>
    <row r="317" spans="3:4">
      <c r="C317" s="1231"/>
      <c r="D317" s="1231"/>
    </row>
    <row r="318" spans="3:4">
      <c r="C318" s="1231"/>
      <c r="D318" s="1231"/>
    </row>
    <row r="319" spans="3:4">
      <c r="C319" s="1231"/>
      <c r="D319" s="1231"/>
    </row>
    <row r="320" spans="3:4">
      <c r="C320" s="1231"/>
      <c r="D320" s="1231"/>
    </row>
    <row r="321" spans="3:4">
      <c r="C321" s="1231"/>
      <c r="D321" s="1231"/>
    </row>
    <row r="322" spans="3:4">
      <c r="D322" s="1231"/>
    </row>
    <row r="323" spans="3:4">
      <c r="D323" s="1231"/>
    </row>
    <row r="324" spans="3:4">
      <c r="D324" s="1231"/>
    </row>
    <row r="325" spans="3:4">
      <c r="D325" s="1231"/>
    </row>
    <row r="326" spans="3:4">
      <c r="D326" s="1231"/>
    </row>
    <row r="327" spans="3:4">
      <c r="D327" s="1231"/>
    </row>
    <row r="328" spans="3:4">
      <c r="D328" s="1231"/>
    </row>
    <row r="329" spans="3:4">
      <c r="D329" s="1231"/>
    </row>
    <row r="330" spans="3:4">
      <c r="D330" s="1231"/>
    </row>
    <row r="331" spans="3:4">
      <c r="D331" s="1231"/>
    </row>
    <row r="332" spans="3:4">
      <c r="D332" s="1231"/>
    </row>
    <row r="333" spans="3:4">
      <c r="D333" s="1231"/>
    </row>
    <row r="334" spans="3:4">
      <c r="D334" s="1231"/>
    </row>
    <row r="335" spans="3:4">
      <c r="D335" s="1231"/>
    </row>
  </sheetData>
  <sheetProtection sheet="1" formatCells="0" formatColumns="0" formatRows="0"/>
  <mergeCells count="5">
    <mergeCell ref="A18:D18"/>
    <mergeCell ref="G16:I16"/>
    <mergeCell ref="J14:J17"/>
    <mergeCell ref="G17:I17"/>
    <mergeCell ref="E16:E17"/>
  </mergeCells>
  <phoneticPr fontId="2"/>
  <dataValidations count="2">
    <dataValidation type="list" allowBlank="1" showInputMessage="1" showErrorMessage="1" sqref="B11" xr:uid="{00000000-0002-0000-0100-000000000000}">
      <formula1>"1,2,3"</formula1>
    </dataValidation>
    <dataValidation type="list" allowBlank="1" showInputMessage="1" showErrorMessage="1" sqref="F17" xr:uid="{00000000-0002-0000-0100-000001000000}">
      <formula1>"0,1,2"</formula1>
    </dataValidation>
  </dataValidations>
  <pageMargins left="0.98425196850393704" right="0.59055118110236227" top="0.78740157480314965" bottom="0.78740157480314965" header="0.51181102362204722" footer="0.51181102362204722"/>
  <pageSetup paperSize="9" scale="73" orientation="landscape" horizontalDpi="200" verticalDpi="200" r:id="rId1"/>
  <headerFooter alignWithMargins="0"/>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9">
    <tabColor indexed="50"/>
  </sheetPr>
  <dimension ref="B1:N39"/>
  <sheetViews>
    <sheetView zoomScaleNormal="100" workbookViewId="0"/>
  </sheetViews>
  <sheetFormatPr defaultRowHeight="20.25" customHeight="1"/>
  <cols>
    <col min="2" max="2" width="22.58203125" customWidth="1"/>
    <col min="3" max="3" width="5.58203125" customWidth="1"/>
    <col min="4" max="4" width="16.58203125" customWidth="1"/>
    <col min="5" max="5" width="5.58203125" customWidth="1"/>
    <col min="6" max="6" width="10.58203125" customWidth="1"/>
    <col min="7" max="7" width="22.58203125" customWidth="1"/>
    <col min="8" max="8" width="5.58203125" customWidth="1"/>
    <col min="11" max="11" width="12.25" bestFit="1" customWidth="1"/>
    <col min="12" max="12" width="9.25" bestFit="1" customWidth="1"/>
    <col min="13" max="13" width="8.08203125" bestFit="1" customWidth="1"/>
    <col min="14" max="14" width="13" bestFit="1" customWidth="1"/>
  </cols>
  <sheetData>
    <row r="1" spans="2:14" ht="20.25" customHeight="1">
      <c r="B1" s="1445" t="str">
        <f>IF(AND(基本入力!C44=1),"","本書の提出は不要です。")</f>
        <v>本書の提出は不要です。</v>
      </c>
    </row>
    <row r="4" spans="2:14" ht="20.25" customHeight="1">
      <c r="B4" s="1456"/>
      <c r="C4" s="1456"/>
      <c r="D4" s="1456"/>
      <c r="E4" s="1456"/>
      <c r="F4" s="1456"/>
      <c r="G4" s="1456"/>
      <c r="H4" s="1456"/>
    </row>
    <row r="5" spans="2:14" ht="20.25" customHeight="1">
      <c r="B5" s="2089" t="s">
        <v>1015</v>
      </c>
      <c r="C5" s="2089"/>
      <c r="D5" s="2089"/>
      <c r="E5" s="2089"/>
      <c r="F5" s="2089"/>
      <c r="G5" s="2089"/>
      <c r="H5" s="2089"/>
    </row>
    <row r="6" spans="2:14" ht="20.25" customHeight="1">
      <c r="B6" s="1456"/>
      <c r="C6" s="1456"/>
      <c r="D6" s="1456"/>
      <c r="E6" s="1456"/>
      <c r="F6" s="1456"/>
      <c r="G6" s="1456"/>
      <c r="H6" s="1456"/>
    </row>
    <row r="7" spans="2:14" ht="20.25" customHeight="1">
      <c r="B7" s="1456"/>
      <c r="C7" s="1456"/>
      <c r="D7" s="1456"/>
      <c r="E7" s="1456"/>
      <c r="F7" s="1456"/>
      <c r="G7" s="1456"/>
      <c r="H7" s="1456"/>
    </row>
    <row r="8" spans="2:14" ht="20.25" customHeight="1">
      <c r="B8" s="1455" t="s">
        <v>1053</v>
      </c>
      <c r="C8" s="1456"/>
      <c r="D8" s="1456"/>
      <c r="E8" s="1456"/>
      <c r="F8" s="1456"/>
      <c r="G8" s="1456"/>
      <c r="H8" s="1456"/>
    </row>
    <row r="9" spans="2:14" ht="20.25" customHeight="1" thickBot="1">
      <c r="B9" s="1456"/>
      <c r="C9" s="1456"/>
      <c r="D9" s="1456"/>
      <c r="E9" s="1456"/>
      <c r="F9" s="1456"/>
      <c r="G9" s="1456"/>
      <c r="H9" s="1456"/>
    </row>
    <row r="10" spans="2:14" ht="40.5" customHeight="1">
      <c r="B10" s="1886" t="s">
        <v>670</v>
      </c>
      <c r="C10" s="1853"/>
      <c r="D10" s="1853"/>
      <c r="E10" s="1809" t="s">
        <v>679</v>
      </c>
      <c r="F10" s="1809"/>
      <c r="G10" s="1809"/>
      <c r="H10" s="1810"/>
    </row>
    <row r="11" spans="2:14" ht="20.25" customHeight="1" thickBot="1">
      <c r="B11" s="1460">
        <f>説明書!G9+説明書!G16+説明書!G25+説明書!G41+説明書!G49+説明書!G58</f>
        <v>18537531</v>
      </c>
      <c r="C11" s="1461" t="s">
        <v>163</v>
      </c>
      <c r="D11" s="2102">
        <f>IF(B11&gt;0,係数!S44,"－")</f>
        <v>0.15</v>
      </c>
      <c r="E11" s="2103"/>
      <c r="F11" s="2104"/>
      <c r="G11" s="1462">
        <f>ROUNDDOWN(ROUND(B11*D11,0)*CHOOSE((基本入力!C7+1),(基本入力!E40+1),1),0)</f>
        <v>2780630</v>
      </c>
      <c r="H11" s="1463" t="s">
        <v>163</v>
      </c>
      <c r="J11" s="1317" t="s">
        <v>180</v>
      </c>
      <c r="K11" s="1317" t="s">
        <v>181</v>
      </c>
      <c r="L11">
        <f>IF(AND(基本入力!E$44&lt;10,SUM(基本入力!C$13:C$16,基本入力!C$56:C$57)&gt;250),"",IF(AND(基本入力!E$44&gt;=10,SUM(基本入力!C$13:C$16,基本入力!C$56:C$57)&gt;=250),250,SUM(基本入力!C$13:C$16,基本入力!C$56:C$57)))</f>
        <v>245</v>
      </c>
      <c r="M11">
        <f>IF(基本入力!$C$44=1,IF(OR(L11=0,L11=""),"",IF(AND(L11&gt;0,基本入力!$E$44&lt;10),IF(基本入力!$E$44=0,係数!C29,係数!D29),CHOOSE((基本入力!$E$44-10)+1,係数!E29,係数!F29,係数!G29,係数!H29,係数!I29,係数!J29,係数!K29,係数!L29,係数!M29,係数!N29,係数!O29,係数!P29,係数!Q29))*(IF(基本入力!$C$7=0,基本入力!$E$40+1,1))),0)</f>
        <v>0</v>
      </c>
      <c r="N11" s="708">
        <f>IF(OR(L11=0,L11="",M11=0,M11=""),0,+L11*M11)</f>
        <v>0</v>
      </c>
    </row>
    <row r="12" spans="2:14" ht="20.25" customHeight="1">
      <c r="B12" s="1464"/>
      <c r="C12" s="1456"/>
      <c r="D12" s="1456"/>
      <c r="E12" s="1456"/>
      <c r="F12" s="1456"/>
      <c r="G12" s="1456"/>
      <c r="H12" s="1456"/>
      <c r="J12" s="1317"/>
      <c r="K12" s="1317" t="s">
        <v>182</v>
      </c>
      <c r="L12" t="str">
        <f>IF(AND(基本入力!E$44&lt;10,SUM(基本入力!C$13:C$16,基本入力!C$56:C$57)&gt;1000),"",IF(AND(基本入力!E$44&gt;=10,SUM(基本入力!C$13:C$16,基本入力!C$56:C$57)&gt;=1000),750,IF(SUM(基本入力!C$13:C$16,基本入力!C$56:C$57)-SUM(L11)=0,"",SUM(基本入力!C$13:C$16,基本入力!C$56:C$57)-SUM(L11))))</f>
        <v/>
      </c>
      <c r="M12">
        <f>IF(基本入力!$C$44=1,IF(OR(L12=0,L12=""),"",IF(AND(L12&gt;0,基本入力!$E$44&lt;10),IF(基本入力!$E$44=0,係数!C30,係数!D30),CHOOSE((基本入力!$E$44-10)+1,係数!E30,係数!F30,係数!G30,係数!H30,係数!I30,係数!J30,係数!K30,係数!L30,係数!M30,係数!N30,係数!O30,係数!P30,係数!Q30))*(IF(基本入力!$C$7=0,基本入力!$E$40+1,1))),0)</f>
        <v>0</v>
      </c>
      <c r="N12" s="708">
        <f t="shared" ref="N12:N18" si="0">IF(L12="",0,+L12*M12)</f>
        <v>0</v>
      </c>
    </row>
    <row r="13" spans="2:14" ht="20.25" customHeight="1">
      <c r="B13" s="1455" t="s">
        <v>1052</v>
      </c>
      <c r="C13" s="1456"/>
      <c r="D13" s="1456"/>
      <c r="E13" s="1456"/>
      <c r="F13" s="1456"/>
      <c r="G13" s="1456"/>
      <c r="H13" s="1456"/>
      <c r="J13" s="1317"/>
      <c r="K13" s="1317" t="s">
        <v>183</v>
      </c>
      <c r="L13" t="str">
        <f>IF(AND(基本入力!E$44&lt;10,SUM(基本入力!C$13:C$16,基本入力!C$56:C$57)&gt;2000),"",IF(AND(基本入力!E$44&gt;=10,SUM(基本入力!C$13:C$16,基本入力!C$56:C$57)&gt;=2000),1000,IF(SUM(基本入力!C$13:C$16,基本入力!C$56:C$57)-SUM(L11:L12)=0,"",SUM(基本入力!C$13:C$16,基本入力!C$56:C$57)-SUM(L11:L12))))</f>
        <v/>
      </c>
      <c r="M13">
        <f>IF(基本入力!$C$44=1,IF(OR(L13=0,L13=""),"",IF(AND(L13&gt;0,基本入力!$E$44&lt;10),IF(基本入力!$E$44=0,係数!C31,係数!D31),CHOOSE((基本入力!$E$44-10)+1,係数!E31,係数!F31,係数!G31,係数!H31,係数!I31,係数!J31,係数!K31,係数!L31,係数!M31,係数!N31,係数!O31,係数!P31,係数!Q31))*(IF(基本入力!$C$7=0,基本入力!$E$40+1,1))),0)</f>
        <v>0</v>
      </c>
      <c r="N13" s="708">
        <f t="shared" si="0"/>
        <v>0</v>
      </c>
    </row>
    <row r="14" spans="2:14" ht="20.25" customHeight="1">
      <c r="B14" s="1456"/>
      <c r="C14" s="1456"/>
      <c r="D14" s="1456"/>
      <c r="E14" s="1456"/>
      <c r="F14" s="1456"/>
      <c r="G14" s="1456"/>
      <c r="H14" s="1456"/>
      <c r="J14" s="1317"/>
      <c r="K14" s="1317" t="s">
        <v>184</v>
      </c>
      <c r="L14" t="str">
        <f>IF(AND(基本入力!E$44&lt;10,SUM(基本入力!C$13:C$16,基本入力!C$56:C$57)&gt;4000),"",IF(AND(基本入力!E$44&gt;=10,SUM(基本入力!C$13:C$16,基本入力!C$56:C$57)&gt;=4000),1000,IF(SUM(基本入力!C$13:C$16,基本入力!C$56:C$57)-SUM(L11:L13)=0,"",SUM(基本入力!C$13:C$16,基本入力!C$56:C$57)-SUM(L11:L13))))</f>
        <v/>
      </c>
      <c r="M14">
        <f>IF(基本入力!$C$44=1,IF(OR(L14=0,L14=""),"",IF(AND(L14&gt;0,基本入力!$E$44&lt;10),IF(基本入力!$E$44=0,係数!C32,係数!D32),CHOOSE((基本入力!$E$44-10)+1,係数!E32,係数!F32,係数!G32,係数!H32,係数!I32,係数!J32,係数!K32,係数!L32,係数!M32,係数!N32,係数!O32,係数!P32,係数!Q32))*(IF(基本入力!$C$7=0,基本入力!$E$40+1,1))),0)</f>
        <v>0</v>
      </c>
      <c r="N14" s="708">
        <f>IF(L14="",0,+L14*M14)</f>
        <v>0</v>
      </c>
    </row>
    <row r="15" spans="2:14" ht="20.25" customHeight="1">
      <c r="B15" s="1455" t="s">
        <v>1238</v>
      </c>
      <c r="C15" s="1456"/>
      <c r="D15" s="1456"/>
      <c r="E15" s="1456"/>
      <c r="F15" s="1456"/>
      <c r="G15" s="1456"/>
      <c r="H15" s="1456"/>
      <c r="J15" s="1317"/>
      <c r="K15" s="1317" t="s">
        <v>185</v>
      </c>
      <c r="L15" t="str">
        <f>IF(AND(基本入力!E$44&lt;10,SUM(基本入力!C$13:C$16,基本入力!C$56:C$57)&gt;4000),"",IF(AND(基本入力!E$44&gt;=10,SUM(基本入力!C$13:C$16,基本入力!C$56:C$57)&gt;=4000),1000,IF(SUM(基本入力!C$13:C$16,基本入力!C$56:C$57)-SUM(L11:L14)=0,"",SUM(基本入力!C$13:C$16,基本入力!C$56:C$57)-SUM(L11:L14))))</f>
        <v/>
      </c>
      <c r="M15">
        <f>IF(基本入力!$C$44=1,IF(OR(L15=0,L15=""),"",IF(AND(L15&gt;0,基本入力!$E$44&lt;10),IF(基本入力!$E$44=0,係数!C33,係数!D33),CHOOSE((基本入力!$E$44-10)+1,係数!E33,係数!F33,係数!G33,係数!H33,係数!I33,係数!J33,係数!K33,係数!L33,係数!M33,係数!N33,係数!O33,係数!P33,係数!Q33))*(IF(基本入力!$C$7=0,基本入力!$E$40+1,1))),0)</f>
        <v>0</v>
      </c>
      <c r="N15" s="708">
        <f t="shared" si="0"/>
        <v>0</v>
      </c>
    </row>
    <row r="16" spans="2:14" ht="20.25" customHeight="1">
      <c r="B16" s="1455" t="s">
        <v>1059</v>
      </c>
      <c r="C16" s="1456"/>
      <c r="D16" s="1456"/>
      <c r="E16" s="1456"/>
      <c r="F16" s="1456"/>
      <c r="G16" s="1456"/>
      <c r="H16" s="1456"/>
      <c r="J16" s="1317"/>
      <c r="K16" s="1317" t="s">
        <v>186</v>
      </c>
      <c r="L16" s="1446" t="str">
        <f>IF(AND(基本入力!E$44&lt;10,SUM(基本入力!C$13:C$16,基本入力!C$56:C$57)&gt;5000),"",IF(AND(基本入力!E$44&gt;=10,SUM(基本入力!C$13:C$16,基本入力!C$56:C$57)&gt;=5000),1000,IF(SUM(基本入力!C$13:C$16,基本入力!C$56:C$57)-SUM(L11:L15)=0,"",SUM(基本入力!C$13:C$16,基本入力!C$56:C$57)-SUM(L11:L15))))</f>
        <v/>
      </c>
      <c r="M16">
        <f>IF(基本入力!$C$44=1,IF(OR(L16=0,L16=""),"",IF(AND(L16&gt;0,基本入力!$E$44&lt;10),IF(基本入力!$E$44=0,係数!C34,係数!D34),CHOOSE((基本入力!$E$44-10)+1,係数!E34,係数!F34,係数!G34,係数!H34,係数!I34,係数!J34,係数!K34,係数!L34,係数!M34,係数!N34,係数!O34,係数!P34,係数!Q34))*(IF(基本入力!$C$7=0,基本入力!$E$40+1,1))),0)</f>
        <v>0</v>
      </c>
      <c r="N16" s="708">
        <f t="shared" si="0"/>
        <v>0</v>
      </c>
    </row>
    <row r="17" spans="2:14" ht="20.25" customHeight="1">
      <c r="B17" s="1455" t="s">
        <v>1054</v>
      </c>
      <c r="C17" s="1456"/>
      <c r="D17" s="1456"/>
      <c r="E17" s="1456"/>
      <c r="F17" s="1456"/>
      <c r="G17" s="1456"/>
      <c r="H17" s="1456"/>
      <c r="J17" s="1317"/>
      <c r="K17" s="1317" t="s">
        <v>187</v>
      </c>
      <c r="L17" t="str">
        <f>IF(AND(基本入力!E$44&lt;10,SUM(基本入力!C$13:C$16,基本入力!C$56:C$57)&gt;6000),"",IF(AND(基本入力!E$44&gt;=10,SUM(基本入力!C$13:C$16,基本入力!C$56:C$57)&gt;=6000),1000,IF(SUM(基本入力!C$13:C$16,基本入力!C$56:C$57)-SUM(L11:L16)=0,"",SUM(基本入力!C$13:C$16,基本入力!C$56:C$57)-SUM(L11:L16))))</f>
        <v/>
      </c>
      <c r="M17">
        <f>IF(基本入力!$C$44=1,IF(OR(L17=0,L17=""),"",IF(AND(L17&gt;0,基本入力!$E$44&lt;10),IF(基本入力!$E$44=0,係数!C35,係数!D35),CHOOSE((基本入力!$E$44-10)+1,係数!E35,係数!F35,係数!G35,係数!H35,係数!I35,係数!J35,係数!K35,係数!L35,係数!M35,係数!N35,係数!O35,係数!P35,係数!Q35))*(IF(基本入力!$C$7=0,基本入力!$E$40+1,1))),0)</f>
        <v>0</v>
      </c>
      <c r="N17" s="708">
        <f t="shared" si="0"/>
        <v>0</v>
      </c>
    </row>
    <row r="18" spans="2:14" ht="20.25" customHeight="1">
      <c r="B18" s="1455"/>
      <c r="C18" s="1456"/>
      <c r="D18" s="1456"/>
      <c r="E18" s="1456"/>
      <c r="F18" s="1456"/>
      <c r="G18" s="1456"/>
      <c r="H18" s="1456"/>
      <c r="J18" s="1317"/>
      <c r="K18" s="1317" t="s">
        <v>188</v>
      </c>
      <c r="L18" s="1454" t="str">
        <f>IF(SUM(基本入力!C$13:C$16,基本入力!C$56:C$57)&lt;6001,"",IF(基本入力!E$44&lt;10,SUM(基本入力!C$13:C$16,基本入力!C$56:C$57),IF(AND(基本入力!E$44&gt;=10,SUM(基本入力!C$13:C$16,基本入力!C$56:C$57)&gt;=6000),IF(SUM(基本入力!C$13:C$16,基本入力!C$56:C$57)-SUM(L11:L17)=0,"",SUM(基本入力!C$13:C$16,基本入力!C$56:C$57)-SUM(L11:L17)))))</f>
        <v/>
      </c>
      <c r="M18">
        <f>IF(基本入力!$C$44=1,IF(OR(L18=0,L18=""),"",IF(AND(L18&gt;0,基本入力!$E$44&lt;10),IF(基本入力!$E$44=0,係数!C36,係数!D36),CHOOSE((基本入力!$E$44-10)+1,係数!E36,係数!F36,係数!G36,係数!H36,係数!I36,係数!J36,係数!K36,係数!L36,係数!M36,係数!N36,係数!O36,係数!P36,係数!Q36))*(IF(基本入力!$C$7=0,基本入力!$E$40+1,1))),0)</f>
        <v>0</v>
      </c>
      <c r="N18" s="708">
        <f t="shared" si="0"/>
        <v>0</v>
      </c>
    </row>
    <row r="19" spans="2:14" ht="20.25" customHeight="1">
      <c r="B19" s="1456"/>
      <c r="C19" s="1456"/>
      <c r="D19" s="1456"/>
      <c r="E19" s="1456"/>
      <c r="F19" s="1456"/>
      <c r="G19" s="1456"/>
      <c r="H19" s="1456"/>
      <c r="J19" s="949"/>
      <c r="K19" s="949" t="s">
        <v>931</v>
      </c>
      <c r="L19" s="1318">
        <f>SUM(L11:L18)</f>
        <v>245</v>
      </c>
      <c r="M19">
        <f>IF(基本入力!$C$44=1,IF(OR(L19=0,L19=""),"",IF(AND(L19&gt;0,基本入力!$E$44&lt;10),IF(基本入力!$E$44=0,係数!C37,係数!D37),CHOOSE((基本入力!$E$44-10)+1,係数!E37,係数!F37,係数!G37,係数!H37,係数!I37,係数!J37,係数!K37,係数!L37,係数!M37,係数!N37,係数!O37,係数!P37,係数!L37))*(IF(基本入力!$C$7=0,基本入力!$E$40+1,1))),0)</f>
        <v>0</v>
      </c>
      <c r="N19" s="862">
        <f>SUM(N11:N18)</f>
        <v>0</v>
      </c>
    </row>
    <row r="20" spans="2:14" ht="20.25" customHeight="1">
      <c r="B20" s="1456"/>
      <c r="C20" s="1456"/>
      <c r="D20" s="1456"/>
      <c r="E20" s="1456"/>
      <c r="F20" s="1456"/>
      <c r="G20" s="1456"/>
      <c r="H20" s="1456"/>
    </row>
    <row r="21" spans="2:14" ht="20.25" customHeight="1">
      <c r="B21" s="1455" t="s">
        <v>1062</v>
      </c>
      <c r="C21" s="1455"/>
      <c r="D21" s="1456"/>
      <c r="E21" s="1456"/>
      <c r="F21" s="1456"/>
      <c r="G21" s="1456"/>
      <c r="H21" s="1456"/>
      <c r="K21">
        <f>IF(基本入力!D44&lt;1,係数!S49,IF(基本入力!D44&lt;8,ROUND(係数!S49*(係数!S49*100)^(基本入力!D44-1),4),説明書!AE12))</f>
        <v>1.2E-2</v>
      </c>
    </row>
    <row r="22" spans="2:14" ht="20.25" customHeight="1">
      <c r="B22" s="1457" t="str">
        <f>IF(基本入力!C44=0,"",'その他経費明細（ﾘｰｽ時のみ）'!N19)</f>
        <v/>
      </c>
      <c r="C22" s="1458" t="s">
        <v>1056</v>
      </c>
      <c r="D22" s="2090" t="e">
        <f>IF(B22&gt;0,ROUND(G22/B22,5),"－")</f>
        <v>#VALUE!</v>
      </c>
      <c r="E22" s="2091"/>
      <c r="F22" s="2092"/>
      <c r="G22" s="1459" t="e">
        <f>ROUNDDOWN((B22*K21)*CHOOSE((基本入力!C7+1),(基本入力!E40+1),1),0)</f>
        <v>#VALUE!</v>
      </c>
      <c r="H22" s="1458" t="s">
        <v>1056</v>
      </c>
    </row>
    <row r="23" spans="2:14" ht="20.25" customHeight="1">
      <c r="B23" s="1473"/>
      <c r="C23" s="1474"/>
      <c r="D23" s="1475"/>
      <c r="E23" s="1475"/>
      <c r="F23" s="1475"/>
      <c r="G23" s="1476"/>
      <c r="H23" s="1474"/>
    </row>
    <row r="24" spans="2:14" ht="20.25" customHeight="1">
      <c r="B24" s="1455" t="s">
        <v>1063</v>
      </c>
      <c r="C24" s="1456"/>
      <c r="D24" s="1456"/>
      <c r="E24" s="1456"/>
      <c r="F24" s="1456"/>
      <c r="G24" s="1456"/>
      <c r="H24" s="1456"/>
    </row>
    <row r="25" spans="2:14" ht="20.25" customHeight="1">
      <c r="B25" s="1465" t="str">
        <f>B22</f>
        <v/>
      </c>
      <c r="C25" s="1458" t="s">
        <v>1056</v>
      </c>
      <c r="D25" s="2093">
        <f>IF(B25&gt;0,係数!S43,"－")</f>
        <v>0.2</v>
      </c>
      <c r="E25" s="2094"/>
      <c r="F25" s="2095"/>
      <c r="G25" s="1459" t="e">
        <f>ROUNDDOWN(B25*D25, 0)</f>
        <v>#VALUE!</v>
      </c>
      <c r="H25" s="1458" t="s">
        <v>1056</v>
      </c>
    </row>
    <row r="26" spans="2:14" ht="20.25" customHeight="1">
      <c r="B26" s="1477"/>
      <c r="C26" s="1474"/>
      <c r="D26" s="1478"/>
      <c r="E26" s="1478"/>
      <c r="F26" s="1478"/>
      <c r="G26" s="1476"/>
      <c r="H26" s="1474"/>
    </row>
    <row r="27" spans="2:14" ht="20.25" customHeight="1">
      <c r="B27" s="1455" t="s">
        <v>1064</v>
      </c>
      <c r="C27" s="1456"/>
      <c r="D27" s="1456"/>
      <c r="E27" s="1456"/>
      <c r="F27" s="1456"/>
      <c r="G27" s="1456"/>
      <c r="H27" s="1456"/>
    </row>
    <row r="28" spans="2:14" ht="20.25" customHeight="1">
      <c r="B28" s="1466">
        <f>N19</f>
        <v>0</v>
      </c>
      <c r="C28" s="1458" t="s">
        <v>1056</v>
      </c>
      <c r="D28" s="2096" t="str">
        <f>IF(B28&gt;0,係数!S41,"－")</f>
        <v>－</v>
      </c>
      <c r="E28" s="2097"/>
      <c r="F28" s="2098"/>
      <c r="G28" s="1467" t="e">
        <f>ROUNDDOWN(ROUND(B28/2,0)*D28,0)</f>
        <v>#VALUE!</v>
      </c>
      <c r="H28" s="1458" t="s">
        <v>1056</v>
      </c>
    </row>
    <row r="29" spans="2:14" ht="20.25" customHeight="1">
      <c r="B29" s="1479"/>
      <c r="C29" s="1474"/>
      <c r="D29" s="1480"/>
      <c r="E29" s="1480"/>
      <c r="F29" s="1480"/>
      <c r="G29" s="1481"/>
      <c r="H29" s="1474"/>
    </row>
    <row r="30" spans="2:14" ht="20.25" customHeight="1">
      <c r="B30" s="1455" t="s">
        <v>1065</v>
      </c>
      <c r="C30" s="1456"/>
      <c r="D30" s="1456"/>
      <c r="E30" s="1456"/>
      <c r="F30" s="1456"/>
      <c r="G30" s="1456"/>
      <c r="H30" s="1456"/>
    </row>
    <row r="31" spans="2:14" ht="20.25" customHeight="1">
      <c r="B31" s="1468" t="e">
        <f>G22+G25+G28</f>
        <v>#VALUE!</v>
      </c>
      <c r="C31" s="1458" t="s">
        <v>1056</v>
      </c>
      <c r="D31" s="2099" t="e">
        <f>IF(B31&gt;0,係数!S44,"－")</f>
        <v>#VALUE!</v>
      </c>
      <c r="E31" s="2100"/>
      <c r="F31" s="2101"/>
      <c r="G31" s="1469" t="e">
        <f>ROUNDDOWN(ROUND(B31*D31,0)*CHOOSE((基本入力!C24+1),(基本入力!E57+1),1),0)</f>
        <v>#VALUE!</v>
      </c>
      <c r="H31" s="1458" t="s">
        <v>1056</v>
      </c>
    </row>
    <row r="32" spans="2:14" ht="20.25" customHeight="1">
      <c r="B32" s="1456"/>
      <c r="C32" s="1456"/>
      <c r="D32" s="1456"/>
      <c r="E32" s="1456"/>
      <c r="F32" s="1456"/>
      <c r="G32" s="1456"/>
      <c r="H32" s="1456"/>
      <c r="I32" s="1446" t="s">
        <v>1057</v>
      </c>
    </row>
    <row r="33" spans="2:9" ht="20.25" customHeight="1" thickBot="1">
      <c r="B33" s="1455" t="s">
        <v>1060</v>
      </c>
      <c r="C33" s="1456"/>
      <c r="D33" s="1456"/>
      <c r="E33" s="1456"/>
      <c r="F33" s="1456"/>
      <c r="G33" s="1456"/>
      <c r="H33" s="1456"/>
      <c r="I33" s="1447" t="str">
        <f>IF(基本入力!C60=250,0,"")</f>
        <v/>
      </c>
    </row>
    <row r="34" spans="2:9" ht="20.25" customHeight="1" thickBot="1">
      <c r="B34" s="1456"/>
      <c r="C34" s="1456"/>
      <c r="D34" s="1456"/>
      <c r="E34" s="1456"/>
      <c r="F34" s="1456"/>
      <c r="G34" s="1470" t="e">
        <f>G22+G25+G28+G31</f>
        <v>#VALUE!</v>
      </c>
      <c r="H34" s="1471" t="s">
        <v>1056</v>
      </c>
    </row>
    <row r="35" spans="2:9" ht="20.25" customHeight="1">
      <c r="B35" s="1456"/>
      <c r="C35" s="1456"/>
      <c r="D35" s="1456"/>
      <c r="E35" s="1456"/>
      <c r="F35" s="1456"/>
      <c r="G35" s="1456"/>
      <c r="H35" s="1456"/>
    </row>
    <row r="36" spans="2:9" ht="20.25" customHeight="1" thickBot="1">
      <c r="B36" s="1455" t="s">
        <v>1061</v>
      </c>
      <c r="C36" s="1456"/>
      <c r="D36" s="1456"/>
      <c r="E36" s="1456"/>
      <c r="F36" s="1456"/>
      <c r="G36" s="1456"/>
      <c r="H36" s="1456"/>
    </row>
    <row r="37" spans="2:9" ht="20.25" customHeight="1" thickBot="1">
      <c r="B37" s="1456"/>
      <c r="C37" s="1456"/>
      <c r="D37" s="1456"/>
      <c r="E37" s="1456"/>
      <c r="F37" s="1456"/>
      <c r="G37" s="1472" t="e">
        <f>G11+G34</f>
        <v>#VALUE!</v>
      </c>
      <c r="H37" s="1471" t="s">
        <v>1056</v>
      </c>
    </row>
    <row r="38" spans="2:9" ht="20.25" customHeight="1">
      <c r="B38" s="1456"/>
      <c r="C38" s="1456"/>
      <c r="D38" s="1456"/>
      <c r="E38" s="1456"/>
      <c r="F38" s="1456"/>
      <c r="G38" s="1456"/>
      <c r="H38" s="1456"/>
    </row>
    <row r="39" spans="2:9" ht="20.25" customHeight="1">
      <c r="B39" s="1456"/>
      <c r="C39" s="1456"/>
      <c r="D39" s="1456"/>
      <c r="E39" s="1456"/>
      <c r="F39" s="1456"/>
      <c r="G39" s="1456"/>
      <c r="H39" s="1456"/>
    </row>
  </sheetData>
  <mergeCells count="8">
    <mergeCell ref="B5:H5"/>
    <mergeCell ref="D22:F22"/>
    <mergeCell ref="D25:F25"/>
    <mergeCell ref="D28:F28"/>
    <mergeCell ref="D31:F31"/>
    <mergeCell ref="B10:D10"/>
    <mergeCell ref="E10:H10"/>
    <mergeCell ref="D11:F11"/>
  </mergeCells>
  <phoneticPr fontId="22"/>
  <pageMargins left="0.75" right="0.75" top="1" bottom="1" header="0.51200000000000001" footer="0.51200000000000001"/>
  <pageSetup paperSize="9" scale="81"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6">
    <pageSetUpPr autoPageBreaks="0" fitToPage="1"/>
  </sheetPr>
  <dimension ref="A1:K113"/>
  <sheetViews>
    <sheetView showGridLines="0" zoomScaleNormal="100" workbookViewId="0"/>
  </sheetViews>
  <sheetFormatPr defaultColWidth="9" defaultRowHeight="14"/>
  <cols>
    <col min="1" max="1" width="3.58203125" style="452" customWidth="1"/>
    <col min="2" max="11" width="8.25" style="452" customWidth="1"/>
    <col min="12" max="16384" width="9" style="452"/>
  </cols>
  <sheetData>
    <row r="1" spans="1:11" ht="19">
      <c r="A1" s="719" t="s">
        <v>822</v>
      </c>
      <c r="B1" s="719"/>
      <c r="C1" s="720"/>
      <c r="D1" s="720"/>
      <c r="E1" s="720"/>
      <c r="F1" s="720"/>
      <c r="G1" s="720"/>
      <c r="H1" s="720"/>
      <c r="I1" s="720"/>
      <c r="J1" s="720"/>
      <c r="K1" s="720"/>
    </row>
    <row r="2" spans="1:11">
      <c r="A2" s="2105" t="s">
        <v>823</v>
      </c>
      <c r="B2" s="2105"/>
      <c r="C2" s="2105"/>
      <c r="D2" s="2105"/>
      <c r="E2" s="2105"/>
      <c r="F2" s="2105"/>
      <c r="G2" s="2105"/>
      <c r="H2" s="2105"/>
      <c r="I2" s="2105"/>
      <c r="J2" s="2105"/>
      <c r="K2" s="2105"/>
    </row>
    <row r="3" spans="1:11">
      <c r="A3" s="722"/>
      <c r="B3" s="722"/>
      <c r="C3" s="722"/>
      <c r="D3" s="2109" t="s">
        <v>1236</v>
      </c>
      <c r="E3" s="2109"/>
      <c r="F3" s="2109"/>
      <c r="G3" s="2109"/>
      <c r="H3" s="2109"/>
      <c r="I3" s="2109"/>
      <c r="J3" s="722"/>
    </row>
    <row r="4" spans="1:11">
      <c r="A4" s="2107" t="str">
        <f>基本入力!C4</f>
        <v>コミュニティー団地</v>
      </c>
      <c r="B4" s="2107"/>
      <c r="C4" s="2107"/>
      <c r="I4" s="723" t="s">
        <v>829</v>
      </c>
      <c r="J4" s="2106">
        <v>0</v>
      </c>
      <c r="K4" s="2106"/>
    </row>
    <row r="5" spans="1:11" ht="14.5" thickBot="1">
      <c r="A5" s="2108"/>
      <c r="B5" s="2108"/>
      <c r="C5" s="2108"/>
      <c r="D5" s="720"/>
      <c r="E5" s="720"/>
      <c r="F5" s="720"/>
      <c r="G5" s="720"/>
      <c r="H5" s="720"/>
      <c r="K5" s="723" t="s">
        <v>857</v>
      </c>
    </row>
    <row r="6" spans="1:11" ht="14.5" thickBot="1">
      <c r="A6" s="378"/>
      <c r="B6" s="358">
        <v>0</v>
      </c>
      <c r="C6" s="358">
        <v>0.1</v>
      </c>
      <c r="D6" s="358">
        <v>0.2</v>
      </c>
      <c r="E6" s="358">
        <v>0.3</v>
      </c>
      <c r="F6" s="358">
        <v>0.4</v>
      </c>
      <c r="G6" s="358">
        <v>0.5</v>
      </c>
      <c r="H6" s="358">
        <v>0.6</v>
      </c>
      <c r="I6" s="358">
        <v>0.7</v>
      </c>
      <c r="J6" s="358">
        <v>0.8</v>
      </c>
      <c r="K6" s="359">
        <v>0.9</v>
      </c>
    </row>
    <row r="7" spans="1:11">
      <c r="A7" s="379">
        <v>0</v>
      </c>
      <c r="B7" s="368">
        <f>IF(($A7+B$6)&gt;約款料金!$C$9,ROUNDDOWN(($A7+B$6)*(約款料金!$D$14+$J$4)+約款料金!$D$13,0),IF(($A7+B$6)&gt;約款料金!$B$9,ROUNDDOWN(($A7+B$6)*(約款料金!$C$14+$J$4)+約款料金!$C$13,0),ROUNDDOWN(($A7+B$6)*(約款料金!$B$14+$J$4)+約款料金!$B$13,0)))</f>
        <v>1000</v>
      </c>
      <c r="C7" s="369">
        <f>IF(($A7+C$6)&gt;約款料金!$C$9,ROUNDDOWN(($A7+C$6)*(約款料金!$D$14+$J$4)+約款料金!$D$13,0),IF(($A7+C$6)&gt;約款料金!$B$9,ROUNDDOWN(($A7+C$6)*(約款料金!$C$14+$J$4)+約款料金!$C$13,0),ROUNDDOWN(($A7+C$6)*(約款料金!$B$14+$J$4)+約款料金!$B$13,0)))</f>
        <v>1048</v>
      </c>
      <c r="D7" s="369">
        <f>IF(($A7+D$6)&gt;約款料金!$C$9,ROUNDDOWN(($A7+D$6)*(約款料金!$D$14+$J$4)+約款料金!$D$13,0),IF(($A7+D$6)&gt;約款料金!$B$9,ROUNDDOWN(($A7+D$6)*(約款料金!$C$14+$J$4)+約款料金!$C$13,0),ROUNDDOWN(($A7+D$6)*(約款料金!$B$14+$J$4)+約款料金!$B$13,0)))</f>
        <v>1097</v>
      </c>
      <c r="E7" s="369">
        <f>IF(($A7+E$6)&gt;約款料金!$C$9,ROUNDDOWN(($A7+E$6)*(約款料金!$D$14+$J$4)+約款料金!$D$13,0),IF(($A7+E$6)&gt;約款料金!$B$9,ROUNDDOWN(($A7+E$6)*(約款料金!$C$14+$J$4)+約款料金!$C$13,0),ROUNDDOWN(($A7+E$6)*(約款料金!$B$14+$J$4)+約款料金!$B$13,0)))</f>
        <v>1146</v>
      </c>
      <c r="F7" s="369">
        <f>IF(($A7+F$6)&gt;約款料金!$C$9,ROUNDDOWN(($A7+F$6)*(約款料金!$D$14+$J$4)+約款料金!$D$13,0),IF(($A7+F$6)&gt;約款料金!$B$9,ROUNDDOWN(($A7+F$6)*(約款料金!$C$14+$J$4)+約款料金!$C$13,0),ROUNDDOWN(($A7+F$6)*(約款料金!$B$14+$J$4)+約款料金!$B$13,0)))</f>
        <v>1195</v>
      </c>
      <c r="G7" s="369">
        <f>IF(($A7+G$6)&gt;約款料金!$C$9,ROUNDDOWN(($A7+G$6)*(約款料金!$D$14+$J$4)+約款料金!$D$13,0),IF(($A7+G$6)&gt;約款料金!$B$9,ROUNDDOWN(($A7+G$6)*(約款料金!$C$14+$J$4)+約款料金!$C$13,0),ROUNDDOWN(($A7+G$6)*(約款料金!$B$14+$J$4)+約款料金!$B$13,0)))</f>
        <v>1244</v>
      </c>
      <c r="H7" s="369">
        <f>IF(($A7+H$6)&gt;約款料金!$C$9,ROUNDDOWN(($A7+H$6)*(約款料金!$D$14+$J$4)+約款料金!$D$13,0),IF(($A7+H$6)&gt;約款料金!$B$9,ROUNDDOWN(($A7+H$6)*(約款料金!$C$14+$J$4)+約款料金!$C$13,0),ROUNDDOWN(($A7+H$6)*(約款料金!$B$14+$J$4)+約款料金!$B$13,0)))</f>
        <v>1292</v>
      </c>
      <c r="I7" s="369">
        <f>IF(($A7+I$6)&gt;約款料金!$C$9,ROUNDDOWN(($A7+I$6)*(約款料金!$D$14+$J$4)+約款料金!$D$13,0),IF(($A7+I$6)&gt;約款料金!$B$9,ROUNDDOWN(($A7+I$6)*(約款料金!$C$14+$J$4)+約款料金!$C$13,0),ROUNDDOWN(($A7+I$6)*(約款料金!$B$14+$J$4)+約款料金!$B$13,0)))</f>
        <v>1341</v>
      </c>
      <c r="J7" s="369">
        <f>IF(($A7+J$6)&gt;約款料金!$C$9,ROUNDDOWN(($A7+J$6)*(約款料金!$D$14+$J$4)+約款料金!$D$13,0),IF(($A7+J$6)&gt;約款料金!$B$9,ROUNDDOWN(($A7+J$6)*(約款料金!$C$14+$J$4)+約款料金!$C$13,0),ROUNDDOWN(($A7+J$6)*(約款料金!$B$14+$J$4)+約款料金!$B$13,0)))</f>
        <v>1390</v>
      </c>
      <c r="K7" s="370">
        <f>IF(($A7+K$6)&gt;約款料金!$C$9,ROUNDDOWN(($A7+K$6)*(約款料金!$D$14+$J$4)+約款料金!$D$13,0),IF(($A7+K$6)&gt;約款料金!$B$9,ROUNDDOWN(($A7+K$6)*(約款料金!$C$14+$J$4)+約款料金!$C$13,0),ROUNDDOWN(($A7+K$6)*(約款料金!$B$14+$J$4)+約款料金!$B$13,0)))</f>
        <v>1439</v>
      </c>
    </row>
    <row r="8" spans="1:11">
      <c r="A8" s="380">
        <v>1</v>
      </c>
      <c r="B8" s="365">
        <f>IF(($A8+B$6)&gt;約款料金!$C$9,ROUNDDOWN(($A8+B$6)*(約款料金!$D$14+$J$4)+約款料金!$D$13,0),IF(($A8+B$6)&gt;約款料金!$B$9,ROUNDDOWN(($A8+B$6)*(約款料金!$C$14+$J$4)+約款料金!$C$13,0),ROUNDDOWN(($A8+B$6)*(約款料金!$B$14+$J$4)+約款料金!$B$13,0)))</f>
        <v>1488</v>
      </c>
      <c r="C8" s="360">
        <f>IF(($A8+C$6)&gt;約款料金!$C$9,ROUNDDOWN(($A8+C$6)*(約款料金!$D$14+$J$4)+約款料金!$D$13,0),IF(($A8+C$6)&gt;約款料金!$B$9,ROUNDDOWN(($A8+C$6)*(約款料金!$C$14+$J$4)+約款料金!$C$13,0),ROUNDDOWN(($A8+C$6)*(約款料金!$B$14+$J$4)+約款料金!$B$13,0)))</f>
        <v>1536</v>
      </c>
      <c r="D8" s="360">
        <f>IF(($A8+D$6)&gt;約款料金!$C$9,ROUNDDOWN(($A8+D$6)*(約款料金!$D$14+$J$4)+約款料金!$D$13,0),IF(($A8+D$6)&gt;約款料金!$B$9,ROUNDDOWN(($A8+D$6)*(約款料金!$C$14+$J$4)+約款料金!$C$13,0),ROUNDDOWN(($A8+D$6)*(約款料金!$B$14+$J$4)+約款料金!$B$13,0)))</f>
        <v>1585</v>
      </c>
      <c r="E8" s="360">
        <f>IF(($A8+E$6)&gt;約款料金!$C$9,ROUNDDOWN(($A8+E$6)*(約款料金!$D$14+$J$4)+約款料金!$D$13,0),IF(($A8+E$6)&gt;約款料金!$B$9,ROUNDDOWN(($A8+E$6)*(約款料金!$C$14+$J$4)+約款料金!$C$13,0),ROUNDDOWN(($A8+E$6)*(約款料金!$B$14+$J$4)+約款料金!$B$13,0)))</f>
        <v>1634</v>
      </c>
      <c r="F8" s="360">
        <f>IF(($A8+F$6)&gt;約款料金!$C$9,ROUNDDOWN(($A8+F$6)*(約款料金!$D$14+$J$4)+約款料金!$D$13,0),IF(($A8+F$6)&gt;約款料金!$B$9,ROUNDDOWN(($A8+F$6)*(約款料金!$C$14+$J$4)+約款料金!$C$13,0),ROUNDDOWN(($A8+F$6)*(約款料金!$B$14+$J$4)+約款料金!$B$13,0)))</f>
        <v>1683</v>
      </c>
      <c r="G8" s="360">
        <f>IF(($A8+G$6)&gt;約款料金!$C$9,ROUNDDOWN(($A8+G$6)*(約款料金!$D$14+$J$4)+約款料金!$D$13,0),IF(($A8+G$6)&gt;約款料金!$B$9,ROUNDDOWN(($A8+G$6)*(約款料金!$C$14+$J$4)+約款料金!$C$13,0),ROUNDDOWN(($A8+G$6)*(約款料金!$B$14+$J$4)+約款料金!$B$13,0)))</f>
        <v>1732</v>
      </c>
      <c r="H8" s="360">
        <f>IF(($A8+H$6)&gt;約款料金!$C$9,ROUNDDOWN(($A8+H$6)*(約款料金!$D$14+$J$4)+約款料金!$D$13,0),IF(($A8+H$6)&gt;約款料金!$B$9,ROUNDDOWN(($A8+H$6)*(約款料金!$C$14+$J$4)+約款料金!$C$13,0),ROUNDDOWN(($A8+H$6)*(約款料金!$B$14+$J$4)+約款料金!$B$13,0)))</f>
        <v>1780</v>
      </c>
      <c r="I8" s="360">
        <f>IF(($A8+I$6)&gt;約款料金!$C$9,ROUNDDOWN(($A8+I$6)*(約款料金!$D$14+$J$4)+約款料金!$D$13,0),IF(($A8+I$6)&gt;約款料金!$B$9,ROUNDDOWN(($A8+I$6)*(約款料金!$C$14+$J$4)+約款料金!$C$13,0),ROUNDDOWN(($A8+I$6)*(約款料金!$B$14+$J$4)+約款料金!$B$13,0)))</f>
        <v>1829</v>
      </c>
      <c r="J8" s="360">
        <f>IF(($A8+J$6)&gt;約款料金!$C$9,ROUNDDOWN(($A8+J$6)*(約款料金!$D$14+$J$4)+約款料金!$D$13,0),IF(($A8+J$6)&gt;約款料金!$B$9,ROUNDDOWN(($A8+J$6)*(約款料金!$C$14+$J$4)+約款料金!$C$13,0),ROUNDDOWN(($A8+J$6)*(約款料金!$B$14+$J$4)+約款料金!$B$13,0)))</f>
        <v>1878</v>
      </c>
      <c r="K8" s="366">
        <f>IF(($A8+K$6)&gt;約款料金!$C$9,ROUNDDOWN(($A8+K$6)*(約款料金!$D$14+$J$4)+約款料金!$D$13,0),IF(($A8+K$6)&gt;約款料金!$B$9,ROUNDDOWN(($A8+K$6)*(約款料金!$C$14+$J$4)+約款料金!$C$13,0),ROUNDDOWN(($A8+K$6)*(約款料金!$B$14+$J$4)+約款料金!$B$13,0)))</f>
        <v>1927</v>
      </c>
    </row>
    <row r="9" spans="1:11">
      <c r="A9" s="380">
        <v>2</v>
      </c>
      <c r="B9" s="365">
        <f>IF(($A9+B$6)&gt;約款料金!$C$9,ROUNDDOWN(($A9+B$6)*(約款料金!$D$14+$J$4)+約款料金!$D$13,0),IF(($A9+B$6)&gt;約款料金!$B$9,ROUNDDOWN(($A9+B$6)*(約款料金!$C$14+$J$4)+約款料金!$C$13,0),ROUNDDOWN(($A9+B$6)*(約款料金!$B$14+$J$4)+約款料金!$B$13,0)))</f>
        <v>1976</v>
      </c>
      <c r="C9" s="360">
        <f>IF(($A9+C$6)&gt;約款料金!$C$9,ROUNDDOWN(($A9+C$6)*(約款料金!$D$14+$J$4)+約款料金!$D$13,0),IF(($A9+C$6)&gt;約款料金!$B$9,ROUNDDOWN(($A9+C$6)*(約款料金!$C$14+$J$4)+約款料金!$C$13,0),ROUNDDOWN(($A9+C$6)*(約款料金!$B$14+$J$4)+約款料金!$B$13,0)))</f>
        <v>2024</v>
      </c>
      <c r="D9" s="360">
        <f>IF(($A9+D$6)&gt;約款料金!$C$9,ROUNDDOWN(($A9+D$6)*(約款料金!$D$14+$J$4)+約款料金!$D$13,0),IF(($A9+D$6)&gt;約款料金!$B$9,ROUNDDOWN(($A9+D$6)*(約款料金!$C$14+$J$4)+約款料金!$C$13,0),ROUNDDOWN(($A9+D$6)*(約款料金!$B$14+$J$4)+約款料金!$B$13,0)))</f>
        <v>2073</v>
      </c>
      <c r="E9" s="360">
        <f>IF(($A9+E$6)&gt;約款料金!$C$9,ROUNDDOWN(($A9+E$6)*(約款料金!$D$14+$J$4)+約款料金!$D$13,0),IF(($A9+E$6)&gt;約款料金!$B$9,ROUNDDOWN(($A9+E$6)*(約款料金!$C$14+$J$4)+約款料金!$C$13,0),ROUNDDOWN(($A9+E$6)*(約款料金!$B$14+$J$4)+約款料金!$B$13,0)))</f>
        <v>2122</v>
      </c>
      <c r="F9" s="360">
        <f>IF(($A9+F$6)&gt;約款料金!$C$9,ROUNDDOWN(($A9+F$6)*(約款料金!$D$14+$J$4)+約款料金!$D$13,0),IF(($A9+F$6)&gt;約款料金!$B$9,ROUNDDOWN(($A9+F$6)*(約款料金!$C$14+$J$4)+約款料金!$C$13,0),ROUNDDOWN(($A9+F$6)*(約款料金!$B$14+$J$4)+約款料金!$B$13,0)))</f>
        <v>2171</v>
      </c>
      <c r="G9" s="360">
        <f>IF(($A9+G$6)&gt;約款料金!$C$9,ROUNDDOWN(($A9+G$6)*(約款料金!$D$14+$J$4)+約款料金!$D$13,0),IF(($A9+G$6)&gt;約款料金!$B$9,ROUNDDOWN(($A9+G$6)*(約款料金!$C$14+$J$4)+約款料金!$C$13,0),ROUNDDOWN(($A9+G$6)*(約款料金!$B$14+$J$4)+約款料金!$B$13,0)))</f>
        <v>2220</v>
      </c>
      <c r="H9" s="360">
        <f>IF(($A9+H$6)&gt;約款料金!$C$9,ROUNDDOWN(($A9+H$6)*(約款料金!$D$14+$J$4)+約款料金!$D$13,0),IF(($A9+H$6)&gt;約款料金!$B$9,ROUNDDOWN(($A9+H$6)*(約款料金!$C$14+$J$4)+約款料金!$C$13,0),ROUNDDOWN(($A9+H$6)*(約款料金!$B$14+$J$4)+約款料金!$B$13,0)))</f>
        <v>2268</v>
      </c>
      <c r="I9" s="360">
        <f>IF(($A9+I$6)&gt;約款料金!$C$9,ROUNDDOWN(($A9+I$6)*(約款料金!$D$14+$J$4)+約款料金!$D$13,0),IF(($A9+I$6)&gt;約款料金!$B$9,ROUNDDOWN(($A9+I$6)*(約款料金!$C$14+$J$4)+約款料金!$C$13,0),ROUNDDOWN(($A9+I$6)*(約款料金!$B$14+$J$4)+約款料金!$B$13,0)))</f>
        <v>2317</v>
      </c>
      <c r="J9" s="360">
        <f>IF(($A9+J$6)&gt;約款料金!$C$9,ROUNDDOWN(($A9+J$6)*(約款料金!$D$14+$J$4)+約款料金!$D$13,0),IF(($A9+J$6)&gt;約款料金!$B$9,ROUNDDOWN(($A9+J$6)*(約款料金!$C$14+$J$4)+約款料金!$C$13,0),ROUNDDOWN(($A9+J$6)*(約款料金!$B$14+$J$4)+約款料金!$B$13,0)))</f>
        <v>2366</v>
      </c>
      <c r="K9" s="366">
        <f>IF(($A9+K$6)&gt;約款料金!$C$9,ROUNDDOWN(($A9+K$6)*(約款料金!$D$14+$J$4)+約款料金!$D$13,0),IF(($A9+K$6)&gt;約款料金!$B$9,ROUNDDOWN(($A9+K$6)*(約款料金!$C$14+$J$4)+約款料金!$C$13,0),ROUNDDOWN(($A9+K$6)*(約款料金!$B$14+$J$4)+約款料金!$B$13,0)))</f>
        <v>2415</v>
      </c>
    </row>
    <row r="10" spans="1:11">
      <c r="A10" s="380">
        <v>3</v>
      </c>
      <c r="B10" s="365">
        <f>IF(($A10+B$6)&gt;約款料金!$C$9,ROUNDDOWN(($A10+B$6)*(約款料金!$D$14+$J$4)+約款料金!$D$13,0),IF(($A10+B$6)&gt;約款料金!$B$9,ROUNDDOWN(($A10+B$6)*(約款料金!$C$14+$J$4)+約款料金!$C$13,0),ROUNDDOWN(($A10+B$6)*(約款料金!$B$14+$J$4)+約款料金!$B$13,0)))</f>
        <v>2464</v>
      </c>
      <c r="C10" s="360">
        <f>IF(($A10+C$6)&gt;約款料金!$C$9,ROUNDDOWN(($A10+C$6)*(約款料金!$D$14+$J$4)+約款料金!$D$13,0),IF(($A10+C$6)&gt;約款料金!$B$9,ROUNDDOWN(($A10+C$6)*(約款料金!$C$14+$J$4)+約款料金!$C$13,0),ROUNDDOWN(($A10+C$6)*(約款料金!$B$14+$J$4)+約款料金!$B$13,0)))</f>
        <v>2512</v>
      </c>
      <c r="D10" s="360">
        <f>IF(($A10+D$6)&gt;約款料金!$C$9,ROUNDDOWN(($A10+D$6)*(約款料金!$D$14+$J$4)+約款料金!$D$13,0),IF(($A10+D$6)&gt;約款料金!$B$9,ROUNDDOWN(($A10+D$6)*(約款料金!$C$14+$J$4)+約款料金!$C$13,0),ROUNDDOWN(($A10+D$6)*(約款料金!$B$14+$J$4)+約款料金!$B$13,0)))</f>
        <v>2561</v>
      </c>
      <c r="E10" s="360">
        <f>IF(($A10+E$6)&gt;約款料金!$C$9,ROUNDDOWN(($A10+E$6)*(約款料金!$D$14+$J$4)+約款料金!$D$13,0),IF(($A10+E$6)&gt;約款料金!$B$9,ROUNDDOWN(($A10+E$6)*(約款料金!$C$14+$J$4)+約款料金!$C$13,0),ROUNDDOWN(($A10+E$6)*(約款料金!$B$14+$J$4)+約款料金!$B$13,0)))</f>
        <v>2610</v>
      </c>
      <c r="F10" s="360">
        <f>IF(($A10+F$6)&gt;約款料金!$C$9,ROUNDDOWN(($A10+F$6)*(約款料金!$D$14+$J$4)+約款料金!$D$13,0),IF(($A10+F$6)&gt;約款料金!$B$9,ROUNDDOWN(($A10+F$6)*(約款料金!$C$14+$J$4)+約款料金!$C$13,0),ROUNDDOWN(($A10+F$6)*(約款料金!$B$14+$J$4)+約款料金!$B$13,0)))</f>
        <v>2659</v>
      </c>
      <c r="G10" s="360">
        <f>IF(($A10+G$6)&gt;約款料金!$C$9,ROUNDDOWN(($A10+G$6)*(約款料金!$D$14+$J$4)+約款料金!$D$13,0),IF(($A10+G$6)&gt;約款料金!$B$9,ROUNDDOWN(($A10+G$6)*(約款料金!$C$14+$J$4)+約款料金!$C$13,0),ROUNDDOWN(($A10+G$6)*(約款料金!$B$14+$J$4)+約款料金!$B$13,0)))</f>
        <v>2708</v>
      </c>
      <c r="H10" s="360">
        <f>IF(($A10+H$6)&gt;約款料金!$C$9,ROUNDDOWN(($A10+H$6)*(約款料金!$D$14+$J$4)+約款料金!$D$13,0),IF(($A10+H$6)&gt;約款料金!$B$9,ROUNDDOWN(($A10+H$6)*(約款料金!$C$14+$J$4)+約款料金!$C$13,0),ROUNDDOWN(($A10+H$6)*(約款料金!$B$14+$J$4)+約款料金!$B$13,0)))</f>
        <v>2756</v>
      </c>
      <c r="I10" s="360">
        <f>IF(($A10+I$6)&gt;約款料金!$C$9,ROUNDDOWN(($A10+I$6)*(約款料金!$D$14+$J$4)+約款料金!$D$13,0),IF(($A10+I$6)&gt;約款料金!$B$9,ROUNDDOWN(($A10+I$6)*(約款料金!$C$14+$J$4)+約款料金!$C$13,0),ROUNDDOWN(($A10+I$6)*(約款料金!$B$14+$J$4)+約款料金!$B$13,0)))</f>
        <v>2805</v>
      </c>
      <c r="J10" s="360">
        <f>IF(($A10+J$6)&gt;約款料金!$C$9,ROUNDDOWN(($A10+J$6)*(約款料金!$D$14+$J$4)+約款料金!$D$13,0),IF(($A10+J$6)&gt;約款料金!$B$9,ROUNDDOWN(($A10+J$6)*(約款料金!$C$14+$J$4)+約款料金!$C$13,0),ROUNDDOWN(($A10+J$6)*(約款料金!$B$14+$J$4)+約款料金!$B$13,0)))</f>
        <v>2854</v>
      </c>
      <c r="K10" s="366">
        <f>IF(($A10+K$6)&gt;約款料金!$C$9,ROUNDDOWN(($A10+K$6)*(約款料金!$D$14+$J$4)+約款料金!$D$13,0),IF(($A10+K$6)&gt;約款料金!$B$9,ROUNDDOWN(($A10+K$6)*(約款料金!$C$14+$J$4)+約款料金!$C$13,0),ROUNDDOWN(($A10+K$6)*(約款料金!$B$14+$J$4)+約款料金!$B$13,0)))</f>
        <v>2903</v>
      </c>
    </row>
    <row r="11" spans="1:11">
      <c r="A11" s="381">
        <v>4</v>
      </c>
      <c r="B11" s="374">
        <f>IF(($A11+B$6)&gt;約款料金!$C$9,ROUNDDOWN(($A11+B$6)*(約款料金!$D$14+$J$4)+約款料金!$D$13,0),IF(($A11+B$6)&gt;約款料金!$B$9,ROUNDDOWN(($A11+B$6)*(約款料金!$C$14+$J$4)+約款料金!$C$13,0),ROUNDDOWN(($A11+B$6)*(約款料金!$B$14+$J$4)+約款料金!$B$13,0)))</f>
        <v>2952</v>
      </c>
      <c r="C11" s="375">
        <f>IF(($A11+C$6)&gt;約款料金!$C$9,ROUNDDOWN(($A11+C$6)*(約款料金!$D$14+$J$4)+約款料金!$D$13,0),IF(($A11+C$6)&gt;約款料金!$B$9,ROUNDDOWN(($A11+C$6)*(約款料金!$C$14+$J$4)+約款料金!$C$13,0),ROUNDDOWN(($A11+C$6)*(約款料金!$B$14+$J$4)+約款料金!$B$13,0)))</f>
        <v>3000</v>
      </c>
      <c r="D11" s="375">
        <f>IF(($A11+D$6)&gt;約款料金!$C$9,ROUNDDOWN(($A11+D$6)*(約款料金!$D$14+$J$4)+約款料金!$D$13,0),IF(($A11+D$6)&gt;約款料金!$B$9,ROUNDDOWN(($A11+D$6)*(約款料金!$C$14+$J$4)+約款料金!$C$13,0),ROUNDDOWN(($A11+D$6)*(約款料金!$B$14+$J$4)+約款料金!$B$13,0)))</f>
        <v>3049</v>
      </c>
      <c r="E11" s="375">
        <f>IF(($A11+E$6)&gt;約款料金!$C$9,ROUNDDOWN(($A11+E$6)*(約款料金!$D$14+$J$4)+約款料金!$D$13,0),IF(($A11+E$6)&gt;約款料金!$B$9,ROUNDDOWN(($A11+E$6)*(約款料金!$C$14+$J$4)+約款料金!$C$13,0),ROUNDDOWN(($A11+E$6)*(約款料金!$B$14+$J$4)+約款料金!$B$13,0)))</f>
        <v>3098</v>
      </c>
      <c r="F11" s="375">
        <f>IF(($A11+F$6)&gt;約款料金!$C$9,ROUNDDOWN(($A11+F$6)*(約款料金!$D$14+$J$4)+約款料金!$D$13,0),IF(($A11+F$6)&gt;約款料金!$B$9,ROUNDDOWN(($A11+F$6)*(約款料金!$C$14+$J$4)+約款料金!$C$13,0),ROUNDDOWN(($A11+F$6)*(約款料金!$B$14+$J$4)+約款料金!$B$13,0)))</f>
        <v>3147</v>
      </c>
      <c r="G11" s="375">
        <f>IF(($A11+G$6)&gt;約款料金!$C$9,ROUNDDOWN(($A11+G$6)*(約款料金!$D$14+$J$4)+約款料金!$D$13,0),IF(($A11+G$6)&gt;約款料金!$B$9,ROUNDDOWN(($A11+G$6)*(約款料金!$C$14+$J$4)+約款料金!$C$13,0),ROUNDDOWN(($A11+G$6)*(約款料金!$B$14+$J$4)+約款料金!$B$13,0)))</f>
        <v>3196</v>
      </c>
      <c r="H11" s="375">
        <f>IF(($A11+H$6)&gt;約款料金!$C$9,ROUNDDOWN(($A11+H$6)*(約款料金!$D$14+$J$4)+約款料金!$D$13,0),IF(($A11+H$6)&gt;約款料金!$B$9,ROUNDDOWN(($A11+H$6)*(約款料金!$C$14+$J$4)+約款料金!$C$13,0),ROUNDDOWN(($A11+H$6)*(約款料金!$B$14+$J$4)+約款料金!$B$13,0)))</f>
        <v>3244</v>
      </c>
      <c r="I11" s="375">
        <f>IF(($A11+I$6)&gt;約款料金!$C$9,ROUNDDOWN(($A11+I$6)*(約款料金!$D$14+$J$4)+約款料金!$D$13,0),IF(($A11+I$6)&gt;約款料金!$B$9,ROUNDDOWN(($A11+I$6)*(約款料金!$C$14+$J$4)+約款料金!$C$13,0),ROUNDDOWN(($A11+I$6)*(約款料金!$B$14+$J$4)+約款料金!$B$13,0)))</f>
        <v>3293</v>
      </c>
      <c r="J11" s="375">
        <f>IF(($A11+J$6)&gt;約款料金!$C$9,ROUNDDOWN(($A11+J$6)*(約款料金!$D$14+$J$4)+約款料金!$D$13,0),IF(($A11+J$6)&gt;約款料金!$B$9,ROUNDDOWN(($A11+J$6)*(約款料金!$C$14+$J$4)+約款料金!$C$13,0),ROUNDDOWN(($A11+J$6)*(約款料金!$B$14+$J$4)+約款料金!$B$13,0)))</f>
        <v>3342</v>
      </c>
      <c r="K11" s="376">
        <f>IF(($A11+K$6)&gt;約款料金!$C$9,ROUNDDOWN(($A11+K$6)*(約款料金!$D$14+$J$4)+約款料金!$D$13,0),IF(($A11+K$6)&gt;約款料金!$B$9,ROUNDDOWN(($A11+K$6)*(約款料金!$C$14+$J$4)+約款料金!$C$13,0),ROUNDDOWN(($A11+K$6)*(約款料金!$B$14+$J$4)+約款料金!$B$13,0)))</f>
        <v>3391</v>
      </c>
    </row>
    <row r="12" spans="1:11">
      <c r="A12" s="382">
        <v>5</v>
      </c>
      <c r="B12" s="371">
        <f>IF(($A12+B$6)&gt;約款料金!$C$9,ROUNDDOWN(($A12+B$6)*(約款料金!$D$14+$J$4)+約款料金!$D$13,0),IF(($A12+B$6)&gt;約款料金!$B$9,ROUNDDOWN(($A12+B$6)*(約款料金!$C$14+$J$4)+約款料金!$C$13,0),ROUNDDOWN(($A12+B$6)*(約款料金!$B$14+$J$4)+約款料金!$B$13,0)))</f>
        <v>3440</v>
      </c>
      <c r="C12" s="372">
        <f>IF(($A12+C$6)&gt;約款料金!$C$9,ROUNDDOWN(($A12+C$6)*(約款料金!$D$14+$J$4)+約款料金!$D$13,0),IF(($A12+C$6)&gt;約款料金!$B$9,ROUNDDOWN(($A12+C$6)*(約款料金!$C$14+$J$4)+約款料金!$C$13,0),ROUNDDOWN(($A12+C$6)*(約款料金!$B$14+$J$4)+約款料金!$B$13,0)))</f>
        <v>3488</v>
      </c>
      <c r="D12" s="372">
        <f>IF(($A12+D$6)&gt;約款料金!$C$9,ROUNDDOWN(($A12+D$6)*(約款料金!$D$14+$J$4)+約款料金!$D$13,0),IF(($A12+D$6)&gt;約款料金!$B$9,ROUNDDOWN(($A12+D$6)*(約款料金!$C$14+$J$4)+約款料金!$C$13,0),ROUNDDOWN(($A12+D$6)*(約款料金!$B$14+$J$4)+約款料金!$B$13,0)))</f>
        <v>3537</v>
      </c>
      <c r="E12" s="372">
        <f>IF(($A12+E$6)&gt;約款料金!$C$9,ROUNDDOWN(($A12+E$6)*(約款料金!$D$14+$J$4)+約款料金!$D$13,0),IF(($A12+E$6)&gt;約款料金!$B$9,ROUNDDOWN(($A12+E$6)*(約款料金!$C$14+$J$4)+約款料金!$C$13,0),ROUNDDOWN(($A12+E$6)*(約款料金!$B$14+$J$4)+約款料金!$B$13,0)))</f>
        <v>3586</v>
      </c>
      <c r="F12" s="372">
        <f>IF(($A12+F$6)&gt;約款料金!$C$9,ROUNDDOWN(($A12+F$6)*(約款料金!$D$14+$J$4)+約款料金!$D$13,0),IF(($A12+F$6)&gt;約款料金!$B$9,ROUNDDOWN(($A12+F$6)*(約款料金!$C$14+$J$4)+約款料金!$C$13,0),ROUNDDOWN(($A12+F$6)*(約款料金!$B$14+$J$4)+約款料金!$B$13,0)))</f>
        <v>3635</v>
      </c>
      <c r="G12" s="372">
        <f>IF(($A12+G$6)&gt;約款料金!$C$9,ROUNDDOWN(($A12+G$6)*(約款料金!$D$14+$J$4)+約款料金!$D$13,0),IF(($A12+G$6)&gt;約款料金!$B$9,ROUNDDOWN(($A12+G$6)*(約款料金!$C$14+$J$4)+約款料金!$C$13,0),ROUNDDOWN(($A12+G$6)*(約款料金!$B$14+$J$4)+約款料金!$B$13,0)))</f>
        <v>3684</v>
      </c>
      <c r="H12" s="372">
        <f>IF(($A12+H$6)&gt;約款料金!$C$9,ROUNDDOWN(($A12+H$6)*(約款料金!$D$14+$J$4)+約款料金!$D$13,0),IF(($A12+H$6)&gt;約款料金!$B$9,ROUNDDOWN(($A12+H$6)*(約款料金!$C$14+$J$4)+約款料金!$C$13,0),ROUNDDOWN(($A12+H$6)*(約款料金!$B$14+$J$4)+約款料金!$B$13,0)))</f>
        <v>3732</v>
      </c>
      <c r="I12" s="372">
        <f>IF(($A12+I$6)&gt;約款料金!$C$9,ROUNDDOWN(($A12+I$6)*(約款料金!$D$14+$J$4)+約款料金!$D$13,0),IF(($A12+I$6)&gt;約款料金!$B$9,ROUNDDOWN(($A12+I$6)*(約款料金!$C$14+$J$4)+約款料金!$C$13,0),ROUNDDOWN(($A12+I$6)*(約款料金!$B$14+$J$4)+約款料金!$B$13,0)))</f>
        <v>3781</v>
      </c>
      <c r="J12" s="372">
        <f>IF(($A12+J$6)&gt;約款料金!$C$9,ROUNDDOWN(($A12+J$6)*(約款料金!$D$14+$J$4)+約款料金!$D$13,0),IF(($A12+J$6)&gt;約款料金!$B$9,ROUNDDOWN(($A12+J$6)*(約款料金!$C$14+$J$4)+約款料金!$C$13,0),ROUNDDOWN(($A12+J$6)*(約款料金!$B$14+$J$4)+約款料金!$B$13,0)))</f>
        <v>3830</v>
      </c>
      <c r="K12" s="373">
        <f>IF(($A12+K$6)&gt;約款料金!$C$9,ROUNDDOWN(($A12+K$6)*(約款料金!$D$14+$J$4)+約款料金!$D$13,0),IF(($A12+K$6)&gt;約款料金!$B$9,ROUNDDOWN(($A12+K$6)*(約款料金!$C$14+$J$4)+約款料金!$C$13,0),ROUNDDOWN(($A12+K$6)*(約款料金!$B$14+$J$4)+約款料金!$B$13,0)))</f>
        <v>3879</v>
      </c>
    </row>
    <row r="13" spans="1:11">
      <c r="A13" s="379">
        <v>6</v>
      </c>
      <c r="B13" s="365">
        <f>IF(($A13+B$6)&gt;約款料金!$C$9,ROUNDDOWN(($A13+B$6)*(約款料金!$D$14+$J$4)+約款料金!$D$13,0),IF(($A13+B$6)&gt;約款料金!$B$9,ROUNDDOWN(($A13+B$6)*(約款料金!$C$14+$J$4)+約款料金!$C$13,0),ROUNDDOWN(($A13+B$6)*(約款料金!$B$14+$J$4)+約款料金!$B$13,0)))</f>
        <v>3928</v>
      </c>
      <c r="C13" s="360">
        <f>IF(($A13+C$6)&gt;約款料金!$C$9,ROUNDDOWN(($A13+C$6)*(約款料金!$D$14+$J$4)+約款料金!$D$13,0),IF(($A13+C$6)&gt;約款料金!$B$9,ROUNDDOWN(($A13+C$6)*(約款料金!$C$14+$J$4)+約款料金!$C$13,0),ROUNDDOWN(($A13+C$6)*(約款料金!$B$14+$J$4)+約款料金!$B$13,0)))</f>
        <v>3976</v>
      </c>
      <c r="D13" s="360">
        <f>IF(($A13+D$6)&gt;約款料金!$C$9,ROUNDDOWN(($A13+D$6)*(約款料金!$D$14+$J$4)+約款料金!$D$13,0),IF(($A13+D$6)&gt;約款料金!$B$9,ROUNDDOWN(($A13+D$6)*(約款料金!$C$14+$J$4)+約款料金!$C$13,0),ROUNDDOWN(($A13+D$6)*(約款料金!$B$14+$J$4)+約款料金!$B$13,0)))</f>
        <v>4025</v>
      </c>
      <c r="E13" s="360">
        <f>IF(($A13+E$6)&gt;約款料金!$C$9,ROUNDDOWN(($A13+E$6)*(約款料金!$D$14+$J$4)+約款料金!$D$13,0),IF(($A13+E$6)&gt;約款料金!$B$9,ROUNDDOWN(($A13+E$6)*(約款料金!$C$14+$J$4)+約款料金!$C$13,0),ROUNDDOWN(($A13+E$6)*(約款料金!$B$14+$J$4)+約款料金!$B$13,0)))</f>
        <v>4074</v>
      </c>
      <c r="F13" s="360">
        <f>IF(($A13+F$6)&gt;約款料金!$C$9,ROUNDDOWN(($A13+F$6)*(約款料金!$D$14+$J$4)+約款料金!$D$13,0),IF(($A13+F$6)&gt;約款料金!$B$9,ROUNDDOWN(($A13+F$6)*(約款料金!$C$14+$J$4)+約款料金!$C$13,0),ROUNDDOWN(($A13+F$6)*(約款料金!$B$14+$J$4)+約款料金!$B$13,0)))</f>
        <v>4123</v>
      </c>
      <c r="G13" s="360">
        <f>IF(($A13+G$6)&gt;約款料金!$C$9,ROUNDDOWN(($A13+G$6)*(約款料金!$D$14+$J$4)+約款料金!$D$13,0),IF(($A13+G$6)&gt;約款料金!$B$9,ROUNDDOWN(($A13+G$6)*(約款料金!$C$14+$J$4)+約款料金!$C$13,0),ROUNDDOWN(($A13+G$6)*(約款料金!$B$14+$J$4)+約款料金!$B$13,0)))</f>
        <v>4172</v>
      </c>
      <c r="H13" s="360">
        <f>IF(($A13+H$6)&gt;約款料金!$C$9,ROUNDDOWN(($A13+H$6)*(約款料金!$D$14+$J$4)+約款料金!$D$13,0),IF(($A13+H$6)&gt;約款料金!$B$9,ROUNDDOWN(($A13+H$6)*(約款料金!$C$14+$J$4)+約款料金!$C$13,0),ROUNDDOWN(($A13+H$6)*(約款料金!$B$14+$J$4)+約款料金!$B$13,0)))</f>
        <v>4220</v>
      </c>
      <c r="I13" s="360">
        <f>IF(($A13+I$6)&gt;約款料金!$C$9,ROUNDDOWN(($A13+I$6)*(約款料金!$D$14+$J$4)+約款料金!$D$13,0),IF(($A13+I$6)&gt;約款料金!$B$9,ROUNDDOWN(($A13+I$6)*(約款料金!$C$14+$J$4)+約款料金!$C$13,0),ROUNDDOWN(($A13+I$6)*(約款料金!$B$14+$J$4)+約款料金!$B$13,0)))</f>
        <v>4269</v>
      </c>
      <c r="J13" s="360">
        <f>IF(($A13+J$6)&gt;約款料金!$C$9,ROUNDDOWN(($A13+J$6)*(約款料金!$D$14+$J$4)+約款料金!$D$13,0),IF(($A13+J$6)&gt;約款料金!$B$9,ROUNDDOWN(($A13+J$6)*(約款料金!$C$14+$J$4)+約款料金!$C$13,0),ROUNDDOWN(($A13+J$6)*(約款料金!$B$14+$J$4)+約款料金!$B$13,0)))</f>
        <v>4318</v>
      </c>
      <c r="K13" s="366">
        <f>IF(($A13+K$6)&gt;約款料金!$C$9,ROUNDDOWN(($A13+K$6)*(約款料金!$D$14+$J$4)+約款料金!$D$13,0),IF(($A13+K$6)&gt;約款料金!$B$9,ROUNDDOWN(($A13+K$6)*(約款料金!$C$14+$J$4)+約款料金!$C$13,0),ROUNDDOWN(($A13+K$6)*(約款料金!$B$14+$J$4)+約款料金!$B$13,0)))</f>
        <v>4367</v>
      </c>
    </row>
    <row r="14" spans="1:11">
      <c r="A14" s="380">
        <v>7</v>
      </c>
      <c r="B14" s="365">
        <f>IF(($A14+B$6)&gt;約款料金!$C$9,ROUNDDOWN(($A14+B$6)*(約款料金!$D$14+$J$4)+約款料金!$D$13,0),IF(($A14+B$6)&gt;約款料金!$B$9,ROUNDDOWN(($A14+B$6)*(約款料金!$C$14+$J$4)+約款料金!$C$13,0),ROUNDDOWN(($A14+B$6)*(約款料金!$B$14+$J$4)+約款料金!$B$13,0)))</f>
        <v>4416</v>
      </c>
      <c r="C14" s="360">
        <f>IF(($A14+C$6)&gt;約款料金!$C$9,ROUNDDOWN(($A14+C$6)*(約款料金!$D$14+$J$4)+約款料金!$D$13,0),IF(($A14+C$6)&gt;約款料金!$B$9,ROUNDDOWN(($A14+C$6)*(約款料金!$C$14+$J$4)+約款料金!$C$13,0),ROUNDDOWN(($A14+C$6)*(約款料金!$B$14+$J$4)+約款料金!$B$13,0)))</f>
        <v>4464</v>
      </c>
      <c r="D14" s="360">
        <f>IF(($A14+D$6)&gt;約款料金!$C$9,ROUNDDOWN(($A14+D$6)*(約款料金!$D$14+$J$4)+約款料金!$D$13,0),IF(($A14+D$6)&gt;約款料金!$B$9,ROUNDDOWN(($A14+D$6)*(約款料金!$C$14+$J$4)+約款料金!$C$13,0),ROUNDDOWN(($A14+D$6)*(約款料金!$B$14+$J$4)+約款料金!$B$13,0)))</f>
        <v>4513</v>
      </c>
      <c r="E14" s="360">
        <f>IF(($A14+E$6)&gt;約款料金!$C$9,ROUNDDOWN(($A14+E$6)*(約款料金!$D$14+$J$4)+約款料金!$D$13,0),IF(($A14+E$6)&gt;約款料金!$B$9,ROUNDDOWN(($A14+E$6)*(約款料金!$C$14+$J$4)+約款料金!$C$13,0),ROUNDDOWN(($A14+E$6)*(約款料金!$B$14+$J$4)+約款料金!$B$13,0)))</f>
        <v>4562</v>
      </c>
      <c r="F14" s="360">
        <f>IF(($A14+F$6)&gt;約款料金!$C$9,ROUNDDOWN(($A14+F$6)*(約款料金!$D$14+$J$4)+約款料金!$D$13,0),IF(($A14+F$6)&gt;約款料金!$B$9,ROUNDDOWN(($A14+F$6)*(約款料金!$C$14+$J$4)+約款料金!$C$13,0),ROUNDDOWN(($A14+F$6)*(約款料金!$B$14+$J$4)+約款料金!$B$13,0)))</f>
        <v>4611</v>
      </c>
      <c r="G14" s="360">
        <f>IF(($A14+G$6)&gt;約款料金!$C$9,ROUNDDOWN(($A14+G$6)*(約款料金!$D$14+$J$4)+約款料金!$D$13,0),IF(($A14+G$6)&gt;約款料金!$B$9,ROUNDDOWN(($A14+G$6)*(約款料金!$C$14+$J$4)+約款料金!$C$13,0),ROUNDDOWN(($A14+G$6)*(約款料金!$B$14+$J$4)+約款料金!$B$13,0)))</f>
        <v>4660</v>
      </c>
      <c r="H14" s="360">
        <f>IF(($A14+H$6)&gt;約款料金!$C$9,ROUNDDOWN(($A14+H$6)*(約款料金!$D$14+$J$4)+約款料金!$D$13,0),IF(($A14+H$6)&gt;約款料金!$B$9,ROUNDDOWN(($A14+H$6)*(約款料金!$C$14+$J$4)+約款料金!$C$13,0),ROUNDDOWN(($A14+H$6)*(約款料金!$B$14+$J$4)+約款料金!$B$13,0)))</f>
        <v>4708</v>
      </c>
      <c r="I14" s="360">
        <f>IF(($A14+I$6)&gt;約款料金!$C$9,ROUNDDOWN(($A14+I$6)*(約款料金!$D$14+$J$4)+約款料金!$D$13,0),IF(($A14+I$6)&gt;約款料金!$B$9,ROUNDDOWN(($A14+I$6)*(約款料金!$C$14+$J$4)+約款料金!$C$13,0),ROUNDDOWN(($A14+I$6)*(約款料金!$B$14+$J$4)+約款料金!$B$13,0)))</f>
        <v>4757</v>
      </c>
      <c r="J14" s="360">
        <f>IF(($A14+J$6)&gt;約款料金!$C$9,ROUNDDOWN(($A14+J$6)*(約款料金!$D$14+$J$4)+約款料金!$D$13,0),IF(($A14+J$6)&gt;約款料金!$B$9,ROUNDDOWN(($A14+J$6)*(約款料金!$C$14+$J$4)+約款料金!$C$13,0),ROUNDDOWN(($A14+J$6)*(約款料金!$B$14+$J$4)+約款料金!$B$13,0)))</f>
        <v>4806</v>
      </c>
      <c r="K14" s="366">
        <f>IF(($A14+K$6)&gt;約款料金!$C$9,ROUNDDOWN(($A14+K$6)*(約款料金!$D$14+$J$4)+約款料金!$D$13,0),IF(($A14+K$6)&gt;約款料金!$B$9,ROUNDDOWN(($A14+K$6)*(約款料金!$C$14+$J$4)+約款料金!$C$13,0),ROUNDDOWN(($A14+K$6)*(約款料金!$B$14+$J$4)+約款料金!$B$13,0)))</f>
        <v>4855</v>
      </c>
    </row>
    <row r="15" spans="1:11">
      <c r="A15" s="380">
        <v>8</v>
      </c>
      <c r="B15" s="365">
        <f>IF(($A15+B$6)&gt;約款料金!$C$9,ROUNDDOWN(($A15+B$6)*(約款料金!$D$14+$J$4)+約款料金!$D$13,0),IF(($A15+B$6)&gt;約款料金!$B$9,ROUNDDOWN(($A15+B$6)*(約款料金!$C$14+$J$4)+約款料金!$C$13,0),ROUNDDOWN(($A15+B$6)*(約款料金!$B$14+$J$4)+約款料金!$B$13,0)))</f>
        <v>4904</v>
      </c>
      <c r="C15" s="360">
        <f>IF(($A15+C$6)&gt;約款料金!$C$9,ROUNDDOWN(($A15+C$6)*(約款料金!$D$14+$J$4)+約款料金!$D$13,0),IF(($A15+C$6)&gt;約款料金!$B$9,ROUNDDOWN(($A15+C$6)*(約款料金!$C$14+$J$4)+約款料金!$C$13,0),ROUNDDOWN(($A15+C$6)*(約款料金!$B$14+$J$4)+約款料金!$B$13,0)))</f>
        <v>4948</v>
      </c>
      <c r="D15" s="360">
        <f>IF(($A15+D$6)&gt;約款料金!$C$9,ROUNDDOWN(($A15+D$6)*(約款料金!$D$14+$J$4)+約款料金!$D$13,0),IF(($A15+D$6)&gt;約款料金!$B$9,ROUNDDOWN(($A15+D$6)*(約款料金!$C$14+$J$4)+約款料金!$C$13,0),ROUNDDOWN(($A15+D$6)*(約款料金!$B$14+$J$4)+約款料金!$B$13,0)))</f>
        <v>4993</v>
      </c>
      <c r="E15" s="360">
        <f>IF(($A15+E$6)&gt;約款料金!$C$9,ROUNDDOWN(($A15+E$6)*(約款料金!$D$14+$J$4)+約款料金!$D$13,0),IF(($A15+E$6)&gt;約款料金!$B$9,ROUNDDOWN(($A15+E$6)*(約款料金!$C$14+$J$4)+約款料金!$C$13,0),ROUNDDOWN(($A15+E$6)*(約款料金!$B$14+$J$4)+約款料金!$B$13,0)))</f>
        <v>5038</v>
      </c>
      <c r="F15" s="360">
        <f>IF(($A15+F$6)&gt;約款料金!$C$9,ROUNDDOWN(($A15+F$6)*(約款料金!$D$14+$J$4)+約款料金!$D$13,0),IF(($A15+F$6)&gt;約款料金!$B$9,ROUNDDOWN(($A15+F$6)*(約款料金!$C$14+$J$4)+約款料金!$C$13,0),ROUNDDOWN(($A15+F$6)*(約款料金!$B$14+$J$4)+約款料金!$B$13,0)))</f>
        <v>5083</v>
      </c>
      <c r="G15" s="360">
        <f>IF(($A15+G$6)&gt;約款料金!$C$9,ROUNDDOWN(($A15+G$6)*(約款料金!$D$14+$J$4)+約款料金!$D$13,0),IF(($A15+G$6)&gt;約款料金!$B$9,ROUNDDOWN(($A15+G$6)*(約款料金!$C$14+$J$4)+約款料金!$C$13,0),ROUNDDOWN(($A15+G$6)*(約款料金!$B$14+$J$4)+約款料金!$B$13,0)))</f>
        <v>5128</v>
      </c>
      <c r="H15" s="360">
        <f>IF(($A15+H$6)&gt;約款料金!$C$9,ROUNDDOWN(($A15+H$6)*(約款料金!$D$14+$J$4)+約款料金!$D$13,0),IF(($A15+H$6)&gt;約款料金!$B$9,ROUNDDOWN(($A15+H$6)*(約款料金!$C$14+$J$4)+約款料金!$C$13,0),ROUNDDOWN(($A15+H$6)*(約款料金!$B$14+$J$4)+約款料金!$B$13,0)))</f>
        <v>5172</v>
      </c>
      <c r="I15" s="360">
        <f>IF(($A15+I$6)&gt;約款料金!$C$9,ROUNDDOWN(($A15+I$6)*(約款料金!$D$14+$J$4)+約款料金!$D$13,0),IF(($A15+I$6)&gt;約款料金!$B$9,ROUNDDOWN(($A15+I$6)*(約款料金!$C$14+$J$4)+約款料金!$C$13,0),ROUNDDOWN(($A15+I$6)*(約款料金!$B$14+$J$4)+約款料金!$B$13,0)))</f>
        <v>5217</v>
      </c>
      <c r="J15" s="360">
        <f>IF(($A15+J$6)&gt;約款料金!$C$9,ROUNDDOWN(($A15+J$6)*(約款料金!$D$14+$J$4)+約款料金!$D$13,0),IF(($A15+J$6)&gt;約款料金!$B$9,ROUNDDOWN(($A15+J$6)*(約款料金!$C$14+$J$4)+約款料金!$C$13,0),ROUNDDOWN(($A15+J$6)*(約款料金!$B$14+$J$4)+約款料金!$B$13,0)))</f>
        <v>5262</v>
      </c>
      <c r="K15" s="366">
        <f>IF(($A15+K$6)&gt;約款料金!$C$9,ROUNDDOWN(($A15+K$6)*(約款料金!$D$14+$J$4)+約款料金!$D$13,0),IF(($A15+K$6)&gt;約款料金!$B$9,ROUNDDOWN(($A15+K$6)*(約款料金!$C$14+$J$4)+約款料金!$C$13,0),ROUNDDOWN(($A15+K$6)*(約款料金!$B$14+$J$4)+約款料金!$B$13,0)))</f>
        <v>5307</v>
      </c>
    </row>
    <row r="16" spans="1:11">
      <c r="A16" s="383">
        <v>9</v>
      </c>
      <c r="B16" s="374">
        <f>IF(($A16+B$6)&gt;約款料金!$C$9,ROUNDDOWN(($A16+B$6)*(約款料金!$D$14+$J$4)+約款料金!$D$13,0),IF(($A16+B$6)&gt;約款料金!$B$9,ROUNDDOWN(($A16+B$6)*(約款料金!$C$14+$J$4)+約款料金!$C$13,0),ROUNDDOWN(($A16+B$6)*(約款料金!$B$14+$J$4)+約款料金!$B$13,0)))</f>
        <v>5352</v>
      </c>
      <c r="C16" s="375">
        <f>IF(($A16+C$6)&gt;約款料金!$C$9,ROUNDDOWN(($A16+C$6)*(約款料金!$D$14+$J$4)+約款料金!$D$13,0),IF(($A16+C$6)&gt;約款料金!$B$9,ROUNDDOWN(($A16+C$6)*(約款料金!$C$14+$J$4)+約款料金!$C$13,0),ROUNDDOWN(($A16+C$6)*(約款料金!$B$14+$J$4)+約款料金!$B$13,0)))</f>
        <v>5396</v>
      </c>
      <c r="D16" s="375">
        <f>IF(($A16+D$6)&gt;約款料金!$C$9,ROUNDDOWN(($A16+D$6)*(約款料金!$D$14+$J$4)+約款料金!$D$13,0),IF(($A16+D$6)&gt;約款料金!$B$9,ROUNDDOWN(($A16+D$6)*(約款料金!$C$14+$J$4)+約款料金!$C$13,0),ROUNDDOWN(($A16+D$6)*(約款料金!$B$14+$J$4)+約款料金!$B$13,0)))</f>
        <v>5441</v>
      </c>
      <c r="E16" s="375">
        <f>IF(($A16+E$6)&gt;約款料金!$C$9,ROUNDDOWN(($A16+E$6)*(約款料金!$D$14+$J$4)+約款料金!$D$13,0),IF(($A16+E$6)&gt;約款料金!$B$9,ROUNDDOWN(($A16+E$6)*(約款料金!$C$14+$J$4)+約款料金!$C$13,0),ROUNDDOWN(($A16+E$6)*(約款料金!$B$14+$J$4)+約款料金!$B$13,0)))</f>
        <v>5486</v>
      </c>
      <c r="F16" s="375">
        <f>IF(($A16+F$6)&gt;約款料金!$C$9,ROUNDDOWN(($A16+F$6)*(約款料金!$D$14+$J$4)+約款料金!$D$13,0),IF(($A16+F$6)&gt;約款料金!$B$9,ROUNDDOWN(($A16+F$6)*(約款料金!$C$14+$J$4)+約款料金!$C$13,0),ROUNDDOWN(($A16+F$6)*(約款料金!$B$14+$J$4)+約款料金!$B$13,0)))</f>
        <v>5531</v>
      </c>
      <c r="G16" s="375">
        <f>IF(($A16+G$6)&gt;約款料金!$C$9,ROUNDDOWN(($A16+G$6)*(約款料金!$D$14+$J$4)+約款料金!$D$13,0),IF(($A16+G$6)&gt;約款料金!$B$9,ROUNDDOWN(($A16+G$6)*(約款料金!$C$14+$J$4)+約款料金!$C$13,0),ROUNDDOWN(($A16+G$6)*(約款料金!$B$14+$J$4)+約款料金!$B$13,0)))</f>
        <v>5576</v>
      </c>
      <c r="H16" s="375">
        <f>IF(($A16+H$6)&gt;約款料金!$C$9,ROUNDDOWN(($A16+H$6)*(約款料金!$D$14+$J$4)+約款料金!$D$13,0),IF(($A16+H$6)&gt;約款料金!$B$9,ROUNDDOWN(($A16+H$6)*(約款料金!$C$14+$J$4)+約款料金!$C$13,0),ROUNDDOWN(($A16+H$6)*(約款料金!$B$14+$J$4)+約款料金!$B$13,0)))</f>
        <v>5620</v>
      </c>
      <c r="I16" s="375">
        <f>IF(($A16+I$6)&gt;約款料金!$C$9,ROUNDDOWN(($A16+I$6)*(約款料金!$D$14+$J$4)+約款料金!$D$13,0),IF(($A16+I$6)&gt;約款料金!$B$9,ROUNDDOWN(($A16+I$6)*(約款料金!$C$14+$J$4)+約款料金!$C$13,0),ROUNDDOWN(($A16+I$6)*(約款料金!$B$14+$J$4)+約款料金!$B$13,0)))</f>
        <v>5665</v>
      </c>
      <c r="J16" s="375">
        <f>IF(($A16+J$6)&gt;約款料金!$C$9,ROUNDDOWN(($A16+J$6)*(約款料金!$D$14+$J$4)+約款料金!$D$13,0),IF(($A16+J$6)&gt;約款料金!$B$9,ROUNDDOWN(($A16+J$6)*(約款料金!$C$14+$J$4)+約款料金!$C$13,0),ROUNDDOWN(($A16+J$6)*(約款料金!$B$14+$J$4)+約款料金!$B$13,0)))</f>
        <v>5710</v>
      </c>
      <c r="K16" s="376">
        <f>IF(($A16+K$6)&gt;約款料金!$C$9,ROUNDDOWN(($A16+K$6)*(約款料金!$D$14+$J$4)+約款料金!$D$13,0),IF(($A16+K$6)&gt;約款料金!$B$9,ROUNDDOWN(($A16+K$6)*(約款料金!$C$14+$J$4)+約款料金!$C$13,0),ROUNDDOWN(($A16+K$6)*(約款料金!$B$14+$J$4)+約款料金!$B$13,0)))</f>
        <v>5755</v>
      </c>
    </row>
    <row r="17" spans="1:11">
      <c r="A17" s="382">
        <v>10</v>
      </c>
      <c r="B17" s="371">
        <f>IF(($A17+B$6)&gt;約款料金!$C$9,ROUNDDOWN(($A17+B$6)*(約款料金!$D$14+$J$4)+約款料金!$D$13,0),IF(($A17+B$6)&gt;約款料金!$B$9,ROUNDDOWN(($A17+B$6)*(約款料金!$C$14+$J$4)+約款料金!$C$13,0),ROUNDDOWN(($A17+B$6)*(約款料金!$B$14+$J$4)+約款料金!$B$13,0)))</f>
        <v>5800</v>
      </c>
      <c r="C17" s="372">
        <f>IF(($A17+C$6)&gt;約款料金!$C$9,ROUNDDOWN(($A17+C$6)*(約款料金!$D$14+$J$4)+約款料金!$D$13,0),IF(($A17+C$6)&gt;約款料金!$B$9,ROUNDDOWN(($A17+C$6)*(約款料金!$C$14+$J$4)+約款料金!$C$13,0),ROUNDDOWN(($A17+C$6)*(約款料金!$B$14+$J$4)+約款料金!$B$13,0)))</f>
        <v>5845</v>
      </c>
      <c r="D17" s="372">
        <f>IF(($A17+D$6)&gt;約款料金!$C$9,ROUNDDOWN(($A17+D$6)*(約款料金!$D$14+$J$4)+約款料金!$D$13,0),IF(($A17+D$6)&gt;約款料金!$B$9,ROUNDDOWN(($A17+D$6)*(約款料金!$C$14+$J$4)+約款料金!$C$13,0),ROUNDDOWN(($A17+D$6)*(約款料金!$B$14+$J$4)+約款料金!$B$13,0)))</f>
        <v>5889</v>
      </c>
      <c r="E17" s="372">
        <f>IF(($A17+E$6)&gt;約款料金!$C$9,ROUNDDOWN(($A17+E$6)*(約款料金!$D$14+$J$4)+約款料金!$D$13,0),IF(($A17+E$6)&gt;約款料金!$B$9,ROUNDDOWN(($A17+E$6)*(約款料金!$C$14+$J$4)+約款料金!$C$13,0),ROUNDDOWN(($A17+E$6)*(約款料金!$B$14+$J$4)+約款料金!$B$13,0)))</f>
        <v>5934</v>
      </c>
      <c r="F17" s="372">
        <f>IF(($A17+F$6)&gt;約款料金!$C$9,ROUNDDOWN(($A17+F$6)*(約款料金!$D$14+$J$4)+約款料金!$D$13,0),IF(($A17+F$6)&gt;約款料金!$B$9,ROUNDDOWN(($A17+F$6)*(約款料金!$C$14+$J$4)+約款料金!$C$13,0),ROUNDDOWN(($A17+F$6)*(約款料金!$B$14+$J$4)+約款料金!$B$13,0)))</f>
        <v>5979</v>
      </c>
      <c r="G17" s="372">
        <f>IF(($A17+G$6)&gt;約款料金!$C$9,ROUNDDOWN(($A17+G$6)*(約款料金!$D$14+$J$4)+約款料金!$D$13,0),IF(($A17+G$6)&gt;約款料金!$B$9,ROUNDDOWN(($A17+G$6)*(約款料金!$C$14+$J$4)+約款料金!$C$13,0),ROUNDDOWN(($A17+G$6)*(約款料金!$B$14+$J$4)+約款料金!$B$13,0)))</f>
        <v>6024</v>
      </c>
      <c r="H17" s="372">
        <f>IF(($A17+H$6)&gt;約款料金!$C$9,ROUNDDOWN(($A17+H$6)*(約款料金!$D$14+$J$4)+約款料金!$D$13,0),IF(($A17+H$6)&gt;約款料金!$B$9,ROUNDDOWN(($A17+H$6)*(約款料金!$C$14+$J$4)+約款料金!$C$13,0),ROUNDDOWN(($A17+H$6)*(約款料金!$B$14+$J$4)+約款料金!$B$13,0)))</f>
        <v>6069</v>
      </c>
      <c r="I17" s="372">
        <f>IF(($A17+I$6)&gt;約款料金!$C$9,ROUNDDOWN(($A17+I$6)*(約款料金!$D$14+$J$4)+約款料金!$D$13,0),IF(($A17+I$6)&gt;約款料金!$B$9,ROUNDDOWN(($A17+I$6)*(約款料金!$C$14+$J$4)+約款料金!$C$13,0),ROUNDDOWN(($A17+I$6)*(約款料金!$B$14+$J$4)+約款料金!$B$13,0)))</f>
        <v>6113</v>
      </c>
      <c r="J17" s="372">
        <f>IF(($A17+J$6)&gt;約款料金!$C$9,ROUNDDOWN(($A17+J$6)*(約款料金!$D$14+$J$4)+約款料金!$D$13,0),IF(($A17+J$6)&gt;約款料金!$B$9,ROUNDDOWN(($A17+J$6)*(約款料金!$C$14+$J$4)+約款料金!$C$13,0),ROUNDDOWN(($A17+J$6)*(約款料金!$B$14+$J$4)+約款料金!$B$13,0)))</f>
        <v>6158</v>
      </c>
      <c r="K17" s="373">
        <f>IF(($A17+K$6)&gt;約款料金!$C$9,ROUNDDOWN(($A17+K$6)*(約款料金!$D$14+$J$4)+約款料金!$D$13,0),IF(($A17+K$6)&gt;約款料金!$B$9,ROUNDDOWN(($A17+K$6)*(約款料金!$C$14+$J$4)+約款料金!$C$13,0),ROUNDDOWN(($A17+K$6)*(約款料金!$B$14+$J$4)+約款料金!$B$13,0)))</f>
        <v>6203</v>
      </c>
    </row>
    <row r="18" spans="1:11">
      <c r="A18" s="379">
        <v>11</v>
      </c>
      <c r="B18" s="365">
        <f>IF(($A18+B$6)&gt;約款料金!$C$9,ROUNDDOWN(($A18+B$6)*(約款料金!$D$14+$J$4)+約款料金!$D$13,0),IF(($A18+B$6)&gt;約款料金!$B$9,ROUNDDOWN(($A18+B$6)*(約款料金!$C$14+$J$4)+約款料金!$C$13,0),ROUNDDOWN(($A18+B$6)*(約款料金!$B$14+$J$4)+約款料金!$B$13,0)))</f>
        <v>6248</v>
      </c>
      <c r="C18" s="360">
        <f>IF(($A18+C$6)&gt;約款料金!$C$9,ROUNDDOWN(($A18+C$6)*(約款料金!$D$14+$J$4)+約款料金!$D$13,0),IF(($A18+C$6)&gt;約款料金!$B$9,ROUNDDOWN(($A18+C$6)*(約款料金!$C$14+$J$4)+約款料金!$C$13,0),ROUNDDOWN(($A18+C$6)*(約款料金!$B$14+$J$4)+約款料金!$B$13,0)))</f>
        <v>6293</v>
      </c>
      <c r="D18" s="360">
        <f>IF(($A18+D$6)&gt;約款料金!$C$9,ROUNDDOWN(($A18+D$6)*(約款料金!$D$14+$J$4)+約款料金!$D$13,0),IF(($A18+D$6)&gt;約款料金!$B$9,ROUNDDOWN(($A18+D$6)*(約款料金!$C$14+$J$4)+約款料金!$C$13,0),ROUNDDOWN(($A18+D$6)*(約款料金!$B$14+$J$4)+約款料金!$B$13,0)))</f>
        <v>6337</v>
      </c>
      <c r="E18" s="360">
        <f>IF(($A18+E$6)&gt;約款料金!$C$9,ROUNDDOWN(($A18+E$6)*(約款料金!$D$14+$J$4)+約款料金!$D$13,0),IF(($A18+E$6)&gt;約款料金!$B$9,ROUNDDOWN(($A18+E$6)*(約款料金!$C$14+$J$4)+約款料金!$C$13,0),ROUNDDOWN(($A18+E$6)*(約款料金!$B$14+$J$4)+約款料金!$B$13,0)))</f>
        <v>6382</v>
      </c>
      <c r="F18" s="360">
        <f>IF(($A18+F$6)&gt;約款料金!$C$9,ROUNDDOWN(($A18+F$6)*(約款料金!$D$14+$J$4)+約款料金!$D$13,0),IF(($A18+F$6)&gt;約款料金!$B$9,ROUNDDOWN(($A18+F$6)*(約款料金!$C$14+$J$4)+約款料金!$C$13,0),ROUNDDOWN(($A18+F$6)*(約款料金!$B$14+$J$4)+約款料金!$B$13,0)))</f>
        <v>6427</v>
      </c>
      <c r="G18" s="360">
        <f>IF(($A18+G$6)&gt;約款料金!$C$9,ROUNDDOWN(($A18+G$6)*(約款料金!$D$14+$J$4)+約款料金!$D$13,0),IF(($A18+G$6)&gt;約款料金!$B$9,ROUNDDOWN(($A18+G$6)*(約款料金!$C$14+$J$4)+約款料金!$C$13,0),ROUNDDOWN(($A18+G$6)*(約款料金!$B$14+$J$4)+約款料金!$B$13,0)))</f>
        <v>6472</v>
      </c>
      <c r="H18" s="360">
        <f>IF(($A18+H$6)&gt;約款料金!$C$9,ROUNDDOWN(($A18+H$6)*(約款料金!$D$14+$J$4)+約款料金!$D$13,0),IF(($A18+H$6)&gt;約款料金!$B$9,ROUNDDOWN(($A18+H$6)*(約款料金!$C$14+$J$4)+約款料金!$C$13,0),ROUNDDOWN(($A18+H$6)*(約款料金!$B$14+$J$4)+約款料金!$B$13,0)))</f>
        <v>6517</v>
      </c>
      <c r="I18" s="360">
        <f>IF(($A18+I$6)&gt;約款料金!$C$9,ROUNDDOWN(($A18+I$6)*(約款料金!$D$14+$J$4)+約款料金!$D$13,0),IF(($A18+I$6)&gt;約款料金!$B$9,ROUNDDOWN(($A18+I$6)*(約款料金!$C$14+$J$4)+約款料金!$C$13,0),ROUNDDOWN(($A18+I$6)*(約款料金!$B$14+$J$4)+約款料金!$B$13,0)))</f>
        <v>6561</v>
      </c>
      <c r="J18" s="360">
        <f>IF(($A18+J$6)&gt;約款料金!$C$9,ROUNDDOWN(($A18+J$6)*(約款料金!$D$14+$J$4)+約款料金!$D$13,0),IF(($A18+J$6)&gt;約款料金!$B$9,ROUNDDOWN(($A18+J$6)*(約款料金!$C$14+$J$4)+約款料金!$C$13,0),ROUNDDOWN(($A18+J$6)*(約款料金!$B$14+$J$4)+約款料金!$B$13,0)))</f>
        <v>6606</v>
      </c>
      <c r="K18" s="366">
        <f>IF(($A18+K$6)&gt;約款料金!$C$9,ROUNDDOWN(($A18+K$6)*(約款料金!$D$14+$J$4)+約款料金!$D$13,0),IF(($A18+K$6)&gt;約款料金!$B$9,ROUNDDOWN(($A18+K$6)*(約款料金!$C$14+$J$4)+約款料金!$C$13,0),ROUNDDOWN(($A18+K$6)*(約款料金!$B$14+$J$4)+約款料金!$B$13,0)))</f>
        <v>6651</v>
      </c>
    </row>
    <row r="19" spans="1:11">
      <c r="A19" s="380">
        <v>12</v>
      </c>
      <c r="B19" s="365">
        <f>IF(($A19+B$6)&gt;約款料金!$C$9,ROUNDDOWN(($A19+B$6)*(約款料金!$D$14+$J$4)+約款料金!$D$13,0),IF(($A19+B$6)&gt;約款料金!$B$9,ROUNDDOWN(($A19+B$6)*(約款料金!$C$14+$J$4)+約款料金!$C$13,0),ROUNDDOWN(($A19+B$6)*(約款料金!$B$14+$J$4)+約款料金!$B$13,0)))</f>
        <v>6696</v>
      </c>
      <c r="C19" s="360">
        <f>IF(($A19+C$6)&gt;約款料金!$C$9,ROUNDDOWN(($A19+C$6)*(約款料金!$D$14+$J$4)+約款料金!$D$13,0),IF(($A19+C$6)&gt;約款料金!$B$9,ROUNDDOWN(($A19+C$6)*(約款料金!$C$14+$J$4)+約款料金!$C$13,0),ROUNDDOWN(($A19+C$6)*(約款料金!$B$14+$J$4)+約款料金!$B$13,0)))</f>
        <v>6741</v>
      </c>
      <c r="D19" s="360">
        <f>IF(($A19+D$6)&gt;約款料金!$C$9,ROUNDDOWN(($A19+D$6)*(約款料金!$D$14+$J$4)+約款料金!$D$13,0),IF(($A19+D$6)&gt;約款料金!$B$9,ROUNDDOWN(($A19+D$6)*(約款料金!$C$14+$J$4)+約款料金!$C$13,0),ROUNDDOWN(($A19+D$6)*(約款料金!$B$14+$J$4)+約款料金!$B$13,0)))</f>
        <v>6786</v>
      </c>
      <c r="E19" s="360">
        <f>IF(($A19+E$6)&gt;約款料金!$C$9,ROUNDDOWN(($A19+E$6)*(約款料金!$D$14+$J$4)+約款料金!$D$13,0),IF(($A19+E$6)&gt;約款料金!$B$9,ROUNDDOWN(($A19+E$6)*(約款料金!$C$14+$J$4)+約款料金!$C$13,0),ROUNDDOWN(($A19+E$6)*(約款料金!$B$14+$J$4)+約款料金!$B$13,0)))</f>
        <v>6830</v>
      </c>
      <c r="F19" s="360">
        <f>IF(($A19+F$6)&gt;約款料金!$C$9,ROUNDDOWN(($A19+F$6)*(約款料金!$D$14+$J$4)+約款料金!$D$13,0),IF(($A19+F$6)&gt;約款料金!$B$9,ROUNDDOWN(($A19+F$6)*(約款料金!$C$14+$J$4)+約款料金!$C$13,0),ROUNDDOWN(($A19+F$6)*(約款料金!$B$14+$J$4)+約款料金!$B$13,0)))</f>
        <v>6875</v>
      </c>
      <c r="G19" s="360">
        <f>IF(($A19+G$6)&gt;約款料金!$C$9,ROUNDDOWN(($A19+G$6)*(約款料金!$D$14+$J$4)+約款料金!$D$13,0),IF(($A19+G$6)&gt;約款料金!$B$9,ROUNDDOWN(($A19+G$6)*(約款料金!$C$14+$J$4)+約款料金!$C$13,0),ROUNDDOWN(($A19+G$6)*(約款料金!$B$14+$J$4)+約款料金!$B$13,0)))</f>
        <v>6920</v>
      </c>
      <c r="H19" s="360">
        <f>IF(($A19+H$6)&gt;約款料金!$C$9,ROUNDDOWN(($A19+H$6)*(約款料金!$D$14+$J$4)+約款料金!$D$13,0),IF(($A19+H$6)&gt;約款料金!$B$9,ROUNDDOWN(($A19+H$6)*(約款料金!$C$14+$J$4)+約款料金!$C$13,0),ROUNDDOWN(($A19+H$6)*(約款料金!$B$14+$J$4)+約款料金!$B$13,0)))</f>
        <v>6965</v>
      </c>
      <c r="I19" s="360">
        <f>IF(($A19+I$6)&gt;約款料金!$C$9,ROUNDDOWN(($A19+I$6)*(約款料金!$D$14+$J$4)+約款料金!$D$13,0),IF(($A19+I$6)&gt;約款料金!$B$9,ROUNDDOWN(($A19+I$6)*(約款料金!$C$14+$J$4)+約款料金!$C$13,0),ROUNDDOWN(($A19+I$6)*(約款料金!$B$14+$J$4)+約款料金!$B$13,0)))</f>
        <v>7010</v>
      </c>
      <c r="J19" s="360">
        <f>IF(($A19+J$6)&gt;約款料金!$C$9,ROUNDDOWN(($A19+J$6)*(約款料金!$D$14+$J$4)+約款料金!$D$13,0),IF(($A19+J$6)&gt;約款料金!$B$9,ROUNDDOWN(($A19+J$6)*(約款料金!$C$14+$J$4)+約款料金!$C$13,0),ROUNDDOWN(($A19+J$6)*(約款料金!$B$14+$J$4)+約款料金!$B$13,0)))</f>
        <v>7054</v>
      </c>
      <c r="K19" s="366">
        <f>IF(($A19+K$6)&gt;約款料金!$C$9,ROUNDDOWN(($A19+K$6)*(約款料金!$D$14+$J$4)+約款料金!$D$13,0),IF(($A19+K$6)&gt;約款料金!$B$9,ROUNDDOWN(($A19+K$6)*(約款料金!$C$14+$J$4)+約款料金!$C$13,0),ROUNDDOWN(($A19+K$6)*(約款料金!$B$14+$J$4)+約款料金!$B$13,0)))</f>
        <v>7099</v>
      </c>
    </row>
    <row r="20" spans="1:11">
      <c r="A20" s="380">
        <v>13</v>
      </c>
      <c r="B20" s="365">
        <f>IF(($A20+B$6)&gt;約款料金!$C$9,ROUNDDOWN(($A20+B$6)*(約款料金!$D$14+$J$4)+約款料金!$D$13,0),IF(($A20+B$6)&gt;約款料金!$B$9,ROUNDDOWN(($A20+B$6)*(約款料金!$C$14+$J$4)+約款料金!$C$13,0),ROUNDDOWN(($A20+B$6)*(約款料金!$B$14+$J$4)+約款料金!$B$13,0)))</f>
        <v>7144</v>
      </c>
      <c r="C20" s="360">
        <f>IF(($A20+C$6)&gt;約款料金!$C$9,ROUNDDOWN(($A20+C$6)*(約款料金!$D$14+$J$4)+約款料金!$D$13,0),IF(($A20+C$6)&gt;約款料金!$B$9,ROUNDDOWN(($A20+C$6)*(約款料金!$C$14+$J$4)+約款料金!$C$13,0),ROUNDDOWN(($A20+C$6)*(約款料金!$B$14+$J$4)+約款料金!$B$13,0)))</f>
        <v>7189</v>
      </c>
      <c r="D20" s="360">
        <f>IF(($A20+D$6)&gt;約款料金!$C$9,ROUNDDOWN(($A20+D$6)*(約款料金!$D$14+$J$4)+約款料金!$D$13,0),IF(($A20+D$6)&gt;約款料金!$B$9,ROUNDDOWN(($A20+D$6)*(約款料金!$C$14+$J$4)+約款料金!$C$13,0),ROUNDDOWN(($A20+D$6)*(約款料金!$B$14+$J$4)+約款料金!$B$13,0)))</f>
        <v>7234</v>
      </c>
      <c r="E20" s="360">
        <f>IF(($A20+E$6)&gt;約款料金!$C$9,ROUNDDOWN(($A20+E$6)*(約款料金!$D$14+$J$4)+約款料金!$D$13,0),IF(($A20+E$6)&gt;約款料金!$B$9,ROUNDDOWN(($A20+E$6)*(約款料金!$C$14+$J$4)+約款料金!$C$13,0),ROUNDDOWN(($A20+E$6)*(約款料金!$B$14+$J$4)+約款料金!$B$13,0)))</f>
        <v>7278</v>
      </c>
      <c r="F20" s="360">
        <f>IF(($A20+F$6)&gt;約款料金!$C$9,ROUNDDOWN(($A20+F$6)*(約款料金!$D$14+$J$4)+約款料金!$D$13,0),IF(($A20+F$6)&gt;約款料金!$B$9,ROUNDDOWN(($A20+F$6)*(約款料金!$C$14+$J$4)+約款料金!$C$13,0),ROUNDDOWN(($A20+F$6)*(約款料金!$B$14+$J$4)+約款料金!$B$13,0)))</f>
        <v>7323</v>
      </c>
      <c r="G20" s="360">
        <f>IF(($A20+G$6)&gt;約款料金!$C$9,ROUNDDOWN(($A20+G$6)*(約款料金!$D$14+$J$4)+約款料金!$D$13,0),IF(($A20+G$6)&gt;約款料金!$B$9,ROUNDDOWN(($A20+G$6)*(約款料金!$C$14+$J$4)+約款料金!$C$13,0),ROUNDDOWN(($A20+G$6)*(約款料金!$B$14+$J$4)+約款料金!$B$13,0)))</f>
        <v>7368</v>
      </c>
      <c r="H20" s="360">
        <f>IF(($A20+H$6)&gt;約款料金!$C$9,ROUNDDOWN(($A20+H$6)*(約款料金!$D$14+$J$4)+約款料金!$D$13,0),IF(($A20+H$6)&gt;約款料金!$B$9,ROUNDDOWN(($A20+H$6)*(約款料金!$C$14+$J$4)+約款料金!$C$13,0),ROUNDDOWN(($A20+H$6)*(約款料金!$B$14+$J$4)+約款料金!$B$13,0)))</f>
        <v>7413</v>
      </c>
      <c r="I20" s="360">
        <f>IF(($A20+I$6)&gt;約款料金!$C$9,ROUNDDOWN(($A20+I$6)*(約款料金!$D$14+$J$4)+約款料金!$D$13,0),IF(($A20+I$6)&gt;約款料金!$B$9,ROUNDDOWN(($A20+I$6)*(約款料金!$C$14+$J$4)+約款料金!$C$13,0),ROUNDDOWN(($A20+I$6)*(約款料金!$B$14+$J$4)+約款料金!$B$13,0)))</f>
        <v>7458</v>
      </c>
      <c r="J20" s="360">
        <f>IF(($A20+J$6)&gt;約款料金!$C$9,ROUNDDOWN(($A20+J$6)*(約款料金!$D$14+$J$4)+約款料金!$D$13,0),IF(($A20+J$6)&gt;約款料金!$B$9,ROUNDDOWN(($A20+J$6)*(約款料金!$C$14+$J$4)+約款料金!$C$13,0),ROUNDDOWN(($A20+J$6)*(約款料金!$B$14+$J$4)+約款料金!$B$13,0)))</f>
        <v>7502</v>
      </c>
      <c r="K20" s="366">
        <f>IF(($A20+K$6)&gt;約款料金!$C$9,ROUNDDOWN(($A20+K$6)*(約款料金!$D$14+$J$4)+約款料金!$D$13,0),IF(($A20+K$6)&gt;約款料金!$B$9,ROUNDDOWN(($A20+K$6)*(約款料金!$C$14+$J$4)+約款料金!$C$13,0),ROUNDDOWN(($A20+K$6)*(約款料金!$B$14+$J$4)+約款料金!$B$13,0)))</f>
        <v>7547</v>
      </c>
    </row>
    <row r="21" spans="1:11">
      <c r="A21" s="380">
        <v>14</v>
      </c>
      <c r="B21" s="365">
        <f>IF(($A21+B$6)&gt;約款料金!$C$9,ROUNDDOWN(($A21+B$6)*(約款料金!$D$14+$J$4)+約款料金!$D$13,0),IF(($A21+B$6)&gt;約款料金!$B$9,ROUNDDOWN(($A21+B$6)*(約款料金!$C$14+$J$4)+約款料金!$C$13,0),ROUNDDOWN(($A21+B$6)*(約款料金!$B$14+$J$4)+約款料金!$B$13,0)))</f>
        <v>7592</v>
      </c>
      <c r="C21" s="360">
        <f>IF(($A21+C$6)&gt;約款料金!$C$9,ROUNDDOWN(($A21+C$6)*(約款料金!$D$14+$J$4)+約款料金!$D$13,0),IF(($A21+C$6)&gt;約款料金!$B$9,ROUNDDOWN(($A21+C$6)*(約款料金!$C$14+$J$4)+約款料金!$C$13,0),ROUNDDOWN(($A21+C$6)*(約款料金!$B$14+$J$4)+約款料金!$B$13,0)))</f>
        <v>7637</v>
      </c>
      <c r="D21" s="360">
        <f>IF(($A21+D$6)&gt;約款料金!$C$9,ROUNDDOWN(($A21+D$6)*(約款料金!$D$14+$J$4)+約款料金!$D$13,0),IF(($A21+D$6)&gt;約款料金!$B$9,ROUNDDOWN(($A21+D$6)*(約款料金!$C$14+$J$4)+約款料金!$C$13,0),ROUNDDOWN(($A21+D$6)*(約款料金!$B$14+$J$4)+約款料金!$B$13,0)))</f>
        <v>7682</v>
      </c>
      <c r="E21" s="360">
        <f>IF(($A21+E$6)&gt;約款料金!$C$9,ROUNDDOWN(($A21+E$6)*(約款料金!$D$14+$J$4)+約款料金!$D$13,0),IF(($A21+E$6)&gt;約款料金!$B$9,ROUNDDOWN(($A21+E$6)*(約款料金!$C$14+$J$4)+約款料金!$C$13,0),ROUNDDOWN(($A21+E$6)*(約款料金!$B$14+$J$4)+約款料金!$B$13,0)))</f>
        <v>7727</v>
      </c>
      <c r="F21" s="360">
        <f>IF(($A21+F$6)&gt;約款料金!$C$9,ROUNDDOWN(($A21+F$6)*(約款料金!$D$14+$J$4)+約款料金!$D$13,0),IF(($A21+F$6)&gt;約款料金!$B$9,ROUNDDOWN(($A21+F$6)*(約款料金!$C$14+$J$4)+約款料金!$C$13,0),ROUNDDOWN(($A21+F$6)*(約款料金!$B$14+$J$4)+約款料金!$B$13,0)))</f>
        <v>7771</v>
      </c>
      <c r="G21" s="360">
        <f>IF(($A21+G$6)&gt;約款料金!$C$9,ROUNDDOWN(($A21+G$6)*(約款料金!$D$14+$J$4)+約款料金!$D$13,0),IF(($A21+G$6)&gt;約款料金!$B$9,ROUNDDOWN(($A21+G$6)*(約款料金!$C$14+$J$4)+約款料金!$C$13,0),ROUNDDOWN(($A21+G$6)*(約款料金!$B$14+$J$4)+約款料金!$B$13,0)))</f>
        <v>7816</v>
      </c>
      <c r="H21" s="360">
        <f>IF(($A21+H$6)&gt;約款料金!$C$9,ROUNDDOWN(($A21+H$6)*(約款料金!$D$14+$J$4)+約款料金!$D$13,0),IF(($A21+H$6)&gt;約款料金!$B$9,ROUNDDOWN(($A21+H$6)*(約款料金!$C$14+$J$4)+約款料金!$C$13,0),ROUNDDOWN(($A21+H$6)*(約款料金!$B$14+$J$4)+約款料金!$B$13,0)))</f>
        <v>7861</v>
      </c>
      <c r="I21" s="360">
        <f>IF(($A21+I$6)&gt;約款料金!$C$9,ROUNDDOWN(($A21+I$6)*(約款料金!$D$14+$J$4)+約款料金!$D$13,0),IF(($A21+I$6)&gt;約款料金!$B$9,ROUNDDOWN(($A21+I$6)*(約款料金!$C$14+$J$4)+約款料金!$C$13,0),ROUNDDOWN(($A21+I$6)*(約款料金!$B$14+$J$4)+約款料金!$B$13,0)))</f>
        <v>7906</v>
      </c>
      <c r="J21" s="360">
        <f>IF(($A21+J$6)&gt;約款料金!$C$9,ROUNDDOWN(($A21+J$6)*(約款料金!$D$14+$J$4)+約款料金!$D$13,0),IF(($A21+J$6)&gt;約款料金!$B$9,ROUNDDOWN(($A21+J$6)*(約款料金!$C$14+$J$4)+約款料金!$C$13,0),ROUNDDOWN(($A21+J$6)*(約款料金!$B$14+$J$4)+約款料金!$B$13,0)))</f>
        <v>7951</v>
      </c>
      <c r="K21" s="366">
        <f>IF(($A21+K$6)&gt;約款料金!$C$9,ROUNDDOWN(($A21+K$6)*(約款料金!$D$14+$J$4)+約款料金!$D$13,0),IF(($A21+K$6)&gt;約款料金!$B$9,ROUNDDOWN(($A21+K$6)*(約款料金!$C$14+$J$4)+約款料金!$C$13,0),ROUNDDOWN(($A21+K$6)*(約款料金!$B$14+$J$4)+約款料金!$B$13,0)))</f>
        <v>7995</v>
      </c>
    </row>
    <row r="22" spans="1:11">
      <c r="A22" s="382">
        <v>15</v>
      </c>
      <c r="B22" s="371">
        <f>IF(($A22+B$6)&gt;約款料金!$C$9,ROUNDDOWN(($A22+B$6)*(約款料金!$D$14+$J$4)+約款料金!$D$13,0),IF(($A22+B$6)&gt;約款料金!$B$9,ROUNDDOWN(($A22+B$6)*(約款料金!$C$14+$J$4)+約款料金!$C$13,0),ROUNDDOWN(($A22+B$6)*(約款料金!$B$14+$J$4)+約款料金!$B$13,0)))</f>
        <v>8040</v>
      </c>
      <c r="C22" s="372">
        <f>IF(($A22+C$6)&gt;約款料金!$C$9,ROUNDDOWN(($A22+C$6)*(約款料金!$D$14+$J$4)+約款料金!$D$13,0),IF(($A22+C$6)&gt;約款料金!$B$9,ROUNDDOWN(($A22+C$6)*(約款料金!$C$14+$J$4)+約款料金!$C$13,0),ROUNDDOWN(($A22+C$6)*(約款料金!$B$14+$J$4)+約款料金!$B$13,0)))</f>
        <v>8085</v>
      </c>
      <c r="D22" s="372">
        <f>IF(($A22+D$6)&gt;約款料金!$C$9,ROUNDDOWN(($A22+D$6)*(約款料金!$D$14+$J$4)+約款料金!$D$13,0),IF(($A22+D$6)&gt;約款料金!$B$9,ROUNDDOWN(($A22+D$6)*(約款料金!$C$14+$J$4)+約款料金!$C$13,0),ROUNDDOWN(($A22+D$6)*(約款料金!$B$14+$J$4)+約款料金!$B$13,0)))</f>
        <v>8130</v>
      </c>
      <c r="E22" s="372">
        <f>IF(($A22+E$6)&gt;約款料金!$C$9,ROUNDDOWN(($A22+E$6)*(約款料金!$D$14+$J$4)+約款料金!$D$13,0),IF(($A22+E$6)&gt;約款料金!$B$9,ROUNDDOWN(($A22+E$6)*(約款料金!$C$14+$J$4)+約款料金!$C$13,0),ROUNDDOWN(($A22+E$6)*(約款料金!$B$14+$J$4)+約款料金!$B$13,0)))</f>
        <v>8175</v>
      </c>
      <c r="F22" s="372">
        <f>IF(($A22+F$6)&gt;約款料金!$C$9,ROUNDDOWN(($A22+F$6)*(約款料金!$D$14+$J$4)+約款料金!$D$13,0),IF(($A22+F$6)&gt;約款料金!$B$9,ROUNDDOWN(($A22+F$6)*(約款料金!$C$14+$J$4)+約款料金!$C$13,0),ROUNDDOWN(($A22+F$6)*(約款料金!$B$14+$J$4)+約款料金!$B$13,0)))</f>
        <v>8219</v>
      </c>
      <c r="G22" s="372">
        <f>IF(($A22+G$6)&gt;約款料金!$C$9,ROUNDDOWN(($A22+G$6)*(約款料金!$D$14+$J$4)+約款料金!$D$13,0),IF(($A22+G$6)&gt;約款料金!$B$9,ROUNDDOWN(($A22+G$6)*(約款料金!$C$14+$J$4)+約款料金!$C$13,0),ROUNDDOWN(($A22+G$6)*(約款料金!$B$14+$J$4)+約款料金!$B$13,0)))</f>
        <v>8264</v>
      </c>
      <c r="H22" s="372">
        <f>IF(($A22+H$6)&gt;約款料金!$C$9,ROUNDDOWN(($A22+H$6)*(約款料金!$D$14+$J$4)+約款料金!$D$13,0),IF(($A22+H$6)&gt;約款料金!$B$9,ROUNDDOWN(($A22+H$6)*(約款料金!$C$14+$J$4)+約款料金!$C$13,0),ROUNDDOWN(($A22+H$6)*(約款料金!$B$14+$J$4)+約款料金!$B$13,0)))</f>
        <v>8309</v>
      </c>
      <c r="I22" s="372">
        <f>IF(($A22+I$6)&gt;約款料金!$C$9,ROUNDDOWN(($A22+I$6)*(約款料金!$D$14+$J$4)+約款料金!$D$13,0),IF(($A22+I$6)&gt;約款料金!$B$9,ROUNDDOWN(($A22+I$6)*(約款料金!$C$14+$J$4)+約款料金!$C$13,0),ROUNDDOWN(($A22+I$6)*(約款料金!$B$14+$J$4)+約款料金!$B$13,0)))</f>
        <v>8354</v>
      </c>
      <c r="J22" s="372">
        <f>IF(($A22+J$6)&gt;約款料金!$C$9,ROUNDDOWN(($A22+J$6)*(約款料金!$D$14+$J$4)+約款料金!$D$13,0),IF(($A22+J$6)&gt;約款料金!$B$9,ROUNDDOWN(($A22+J$6)*(約款料金!$C$14+$J$4)+約款料金!$C$13,0),ROUNDDOWN(($A22+J$6)*(約款料金!$B$14+$J$4)+約款料金!$B$13,0)))</f>
        <v>8399</v>
      </c>
      <c r="K22" s="373">
        <f>IF(($A22+K$6)&gt;約款料金!$C$9,ROUNDDOWN(($A22+K$6)*(約款料金!$D$14+$J$4)+約款料金!$D$13,0),IF(($A22+K$6)&gt;約款料金!$B$9,ROUNDDOWN(($A22+K$6)*(約款料金!$C$14+$J$4)+約款料金!$C$13,0),ROUNDDOWN(($A22+K$6)*(約款料金!$B$14+$J$4)+約款料金!$B$13,0)))</f>
        <v>8443</v>
      </c>
    </row>
    <row r="23" spans="1:11">
      <c r="A23" s="379">
        <v>16</v>
      </c>
      <c r="B23" s="365">
        <f>IF(($A23+B$6)&gt;約款料金!$C$9,ROUNDDOWN(($A23+B$6)*(約款料金!$D$14+$J$4)+約款料金!$D$13,0),IF(($A23+B$6)&gt;約款料金!$B$9,ROUNDDOWN(($A23+B$6)*(約款料金!$C$14+$J$4)+約款料金!$C$13,0),ROUNDDOWN(($A23+B$6)*(約款料金!$B$14+$J$4)+約款料金!$B$13,0)))</f>
        <v>8488</v>
      </c>
      <c r="C23" s="360">
        <f>IF(($A23+C$6)&gt;約款料金!$C$9,ROUNDDOWN(($A23+C$6)*(約款料金!$D$14+$J$4)+約款料金!$D$13,0),IF(($A23+C$6)&gt;約款料金!$B$9,ROUNDDOWN(($A23+C$6)*(約款料金!$C$14+$J$4)+約款料金!$C$13,0),ROUNDDOWN(($A23+C$6)*(約款料金!$B$14+$J$4)+約款料金!$B$13,0)))</f>
        <v>8533</v>
      </c>
      <c r="D23" s="360">
        <f>IF(($A23+D$6)&gt;約款料金!$C$9,ROUNDDOWN(($A23+D$6)*(約款料金!$D$14+$J$4)+約款料金!$D$13,0),IF(($A23+D$6)&gt;約款料金!$B$9,ROUNDDOWN(($A23+D$6)*(約款料金!$C$14+$J$4)+約款料金!$C$13,0),ROUNDDOWN(($A23+D$6)*(約款料金!$B$14+$J$4)+約款料金!$B$13,0)))</f>
        <v>8578</v>
      </c>
      <c r="E23" s="360">
        <f>IF(($A23+E$6)&gt;約款料金!$C$9,ROUNDDOWN(($A23+E$6)*(約款料金!$D$14+$J$4)+約款料金!$D$13,0),IF(($A23+E$6)&gt;約款料金!$B$9,ROUNDDOWN(($A23+E$6)*(約款料金!$C$14+$J$4)+約款料金!$C$13,0),ROUNDDOWN(($A23+E$6)*(約款料金!$B$14+$J$4)+約款料金!$B$13,0)))</f>
        <v>8623</v>
      </c>
      <c r="F23" s="360">
        <f>IF(($A23+F$6)&gt;約款料金!$C$9,ROUNDDOWN(($A23+F$6)*(約款料金!$D$14+$J$4)+約款料金!$D$13,0),IF(($A23+F$6)&gt;約款料金!$B$9,ROUNDDOWN(($A23+F$6)*(約款料金!$C$14+$J$4)+約款料金!$C$13,0),ROUNDDOWN(($A23+F$6)*(約款料金!$B$14+$J$4)+約款料金!$B$13,0)))</f>
        <v>8668</v>
      </c>
      <c r="G23" s="360">
        <f>IF(($A23+G$6)&gt;約款料金!$C$9,ROUNDDOWN(($A23+G$6)*(約款料金!$D$14+$J$4)+約款料金!$D$13,0),IF(($A23+G$6)&gt;約款料金!$B$9,ROUNDDOWN(($A23+G$6)*(約款料金!$C$14+$J$4)+約款料金!$C$13,0),ROUNDDOWN(($A23+G$6)*(約款料金!$B$14+$J$4)+約款料金!$B$13,0)))</f>
        <v>8712</v>
      </c>
      <c r="H23" s="360">
        <f>IF(($A23+H$6)&gt;約款料金!$C$9,ROUNDDOWN(($A23+H$6)*(約款料金!$D$14+$J$4)+約款料金!$D$13,0),IF(($A23+H$6)&gt;約款料金!$B$9,ROUNDDOWN(($A23+H$6)*(約款料金!$C$14+$J$4)+約款料金!$C$13,0),ROUNDDOWN(($A23+H$6)*(約款料金!$B$14+$J$4)+約款料金!$B$13,0)))</f>
        <v>8757</v>
      </c>
      <c r="I23" s="360">
        <f>IF(($A23+I$6)&gt;約款料金!$C$9,ROUNDDOWN(($A23+I$6)*(約款料金!$D$14+$J$4)+約款料金!$D$13,0),IF(($A23+I$6)&gt;約款料金!$B$9,ROUNDDOWN(($A23+I$6)*(約款料金!$C$14+$J$4)+約款料金!$C$13,0),ROUNDDOWN(($A23+I$6)*(約款料金!$B$14+$J$4)+約款料金!$B$13,0)))</f>
        <v>8802</v>
      </c>
      <c r="J23" s="360">
        <f>IF(($A23+J$6)&gt;約款料金!$C$9,ROUNDDOWN(($A23+J$6)*(約款料金!$D$14+$J$4)+約款料金!$D$13,0),IF(($A23+J$6)&gt;約款料金!$B$9,ROUNDDOWN(($A23+J$6)*(約款料金!$C$14+$J$4)+約款料金!$C$13,0),ROUNDDOWN(($A23+J$6)*(約款料金!$B$14+$J$4)+約款料金!$B$13,0)))</f>
        <v>8847</v>
      </c>
      <c r="K23" s="366">
        <f>IF(($A23+K$6)&gt;約款料金!$C$9,ROUNDDOWN(($A23+K$6)*(約款料金!$D$14+$J$4)+約款料金!$D$13,0),IF(($A23+K$6)&gt;約款料金!$B$9,ROUNDDOWN(($A23+K$6)*(約款料金!$C$14+$J$4)+約款料金!$C$13,0),ROUNDDOWN(($A23+K$6)*(約款料金!$B$14+$J$4)+約款料金!$B$13,0)))</f>
        <v>8892</v>
      </c>
    </row>
    <row r="24" spans="1:11">
      <c r="A24" s="380">
        <v>17</v>
      </c>
      <c r="B24" s="365">
        <f>IF(($A24+B$6)&gt;約款料金!$C$9,ROUNDDOWN(($A24+B$6)*(約款料金!$D$14+$J$4)+約款料金!$D$13,0),IF(($A24+B$6)&gt;約款料金!$B$9,ROUNDDOWN(($A24+B$6)*(約款料金!$C$14+$J$4)+約款料金!$C$13,0),ROUNDDOWN(($A24+B$6)*(約款料金!$B$14+$J$4)+約款料金!$B$13,0)))</f>
        <v>8936</v>
      </c>
      <c r="C24" s="360">
        <f>IF(($A24+C$6)&gt;約款料金!$C$9,ROUNDDOWN(($A24+C$6)*(約款料金!$D$14+$J$4)+約款料金!$D$13,0),IF(($A24+C$6)&gt;約款料金!$B$9,ROUNDDOWN(($A24+C$6)*(約款料金!$C$14+$J$4)+約款料金!$C$13,0),ROUNDDOWN(($A24+C$6)*(約款料金!$B$14+$J$4)+約款料金!$B$13,0)))</f>
        <v>8981</v>
      </c>
      <c r="D24" s="360">
        <f>IF(($A24+D$6)&gt;約款料金!$C$9,ROUNDDOWN(($A24+D$6)*(約款料金!$D$14+$J$4)+約款料金!$D$13,0),IF(($A24+D$6)&gt;約款料金!$B$9,ROUNDDOWN(($A24+D$6)*(約款料金!$C$14+$J$4)+約款料金!$C$13,0),ROUNDDOWN(($A24+D$6)*(約款料金!$B$14+$J$4)+約款料金!$B$13,0)))</f>
        <v>9026</v>
      </c>
      <c r="E24" s="360">
        <f>IF(($A24+E$6)&gt;約款料金!$C$9,ROUNDDOWN(($A24+E$6)*(約款料金!$D$14+$J$4)+約款料金!$D$13,0),IF(($A24+E$6)&gt;約款料金!$B$9,ROUNDDOWN(($A24+E$6)*(約款料金!$C$14+$J$4)+約款料金!$C$13,0),ROUNDDOWN(($A24+E$6)*(約款料金!$B$14+$J$4)+約款料金!$B$13,0)))</f>
        <v>9071</v>
      </c>
      <c r="F24" s="360">
        <f>IF(($A24+F$6)&gt;約款料金!$C$9,ROUNDDOWN(($A24+F$6)*(約款料金!$D$14+$J$4)+約款料金!$D$13,0),IF(($A24+F$6)&gt;約款料金!$B$9,ROUNDDOWN(($A24+F$6)*(約款料金!$C$14+$J$4)+約款料金!$C$13,0),ROUNDDOWN(($A24+F$6)*(約款料金!$B$14+$J$4)+約款料金!$B$13,0)))</f>
        <v>9116</v>
      </c>
      <c r="G24" s="360">
        <f>IF(($A24+G$6)&gt;約款料金!$C$9,ROUNDDOWN(($A24+G$6)*(約款料金!$D$14+$J$4)+約款料金!$D$13,0),IF(($A24+G$6)&gt;約款料金!$B$9,ROUNDDOWN(($A24+G$6)*(約款料金!$C$14+$J$4)+約款料金!$C$13,0),ROUNDDOWN(($A24+G$6)*(約款料金!$B$14+$J$4)+約款料金!$B$13,0)))</f>
        <v>9160</v>
      </c>
      <c r="H24" s="360">
        <f>IF(($A24+H$6)&gt;約款料金!$C$9,ROUNDDOWN(($A24+H$6)*(約款料金!$D$14+$J$4)+約款料金!$D$13,0),IF(($A24+H$6)&gt;約款料金!$B$9,ROUNDDOWN(($A24+H$6)*(約款料金!$C$14+$J$4)+約款料金!$C$13,0),ROUNDDOWN(($A24+H$6)*(約款料金!$B$14+$J$4)+約款料金!$B$13,0)))</f>
        <v>9205</v>
      </c>
      <c r="I24" s="360">
        <f>IF(($A24+I$6)&gt;約款料金!$C$9,ROUNDDOWN(($A24+I$6)*(約款料金!$D$14+$J$4)+約款料金!$D$13,0),IF(($A24+I$6)&gt;約款料金!$B$9,ROUNDDOWN(($A24+I$6)*(約款料金!$C$14+$J$4)+約款料金!$C$13,0),ROUNDDOWN(($A24+I$6)*(約款料金!$B$14+$J$4)+約款料金!$B$13,0)))</f>
        <v>9250</v>
      </c>
      <c r="J24" s="360">
        <f>IF(($A24+J$6)&gt;約款料金!$C$9,ROUNDDOWN(($A24+J$6)*(約款料金!$D$14+$J$4)+約款料金!$D$13,0),IF(($A24+J$6)&gt;約款料金!$B$9,ROUNDDOWN(($A24+J$6)*(約款料金!$C$14+$J$4)+約款料金!$C$13,0),ROUNDDOWN(($A24+J$6)*(約款料金!$B$14+$J$4)+約款料金!$B$13,0)))</f>
        <v>9295</v>
      </c>
      <c r="K24" s="366">
        <f>IF(($A24+K$6)&gt;約款料金!$C$9,ROUNDDOWN(($A24+K$6)*(約款料金!$D$14+$J$4)+約款料金!$D$13,0),IF(($A24+K$6)&gt;約款料金!$B$9,ROUNDDOWN(($A24+K$6)*(約款料金!$C$14+$J$4)+約款料金!$C$13,0),ROUNDDOWN(($A24+K$6)*(約款料金!$B$14+$J$4)+約款料金!$B$13,0)))</f>
        <v>9340</v>
      </c>
    </row>
    <row r="25" spans="1:11">
      <c r="A25" s="380">
        <v>18</v>
      </c>
      <c r="B25" s="365">
        <f>IF(($A25+B$6)&gt;約款料金!$C$9,ROUNDDOWN(($A25+B$6)*(約款料金!$D$14+$J$4)+約款料金!$D$13,0),IF(($A25+B$6)&gt;約款料金!$B$9,ROUNDDOWN(($A25+B$6)*(約款料金!$C$14+$J$4)+約款料金!$C$13,0),ROUNDDOWN(($A25+B$6)*(約款料金!$B$14+$J$4)+約款料金!$B$13,0)))</f>
        <v>9385</v>
      </c>
      <c r="C25" s="360">
        <f>IF(($A25+C$6)&gt;約款料金!$C$9,ROUNDDOWN(($A25+C$6)*(約款料金!$D$14+$J$4)+約款料金!$D$13,0),IF(($A25+C$6)&gt;約款料金!$B$9,ROUNDDOWN(($A25+C$6)*(約款料金!$C$14+$J$4)+約款料金!$C$13,0),ROUNDDOWN(($A25+C$6)*(約款料金!$B$14+$J$4)+約款料金!$B$13,0)))</f>
        <v>9429</v>
      </c>
      <c r="D25" s="360">
        <f>IF(($A25+D$6)&gt;約款料金!$C$9,ROUNDDOWN(($A25+D$6)*(約款料金!$D$14+$J$4)+約款料金!$D$13,0),IF(($A25+D$6)&gt;約款料金!$B$9,ROUNDDOWN(($A25+D$6)*(約款料金!$C$14+$J$4)+約款料金!$C$13,0),ROUNDDOWN(($A25+D$6)*(約款料金!$B$14+$J$4)+約款料金!$B$13,0)))</f>
        <v>9474</v>
      </c>
      <c r="E25" s="360">
        <f>IF(($A25+E$6)&gt;約款料金!$C$9,ROUNDDOWN(($A25+E$6)*(約款料金!$D$14+$J$4)+約款料金!$D$13,0),IF(($A25+E$6)&gt;約款料金!$B$9,ROUNDDOWN(($A25+E$6)*(約款料金!$C$14+$J$4)+約款料金!$C$13,0),ROUNDDOWN(($A25+E$6)*(約款料金!$B$14+$J$4)+約款料金!$B$13,0)))</f>
        <v>9519</v>
      </c>
      <c r="F25" s="360">
        <f>IF(($A25+F$6)&gt;約款料金!$C$9,ROUNDDOWN(($A25+F$6)*(約款料金!$D$14+$J$4)+約款料金!$D$13,0),IF(($A25+F$6)&gt;約款料金!$B$9,ROUNDDOWN(($A25+F$6)*(約款料金!$C$14+$J$4)+約款料金!$C$13,0),ROUNDDOWN(($A25+F$6)*(約款料金!$B$14+$J$4)+約款料金!$B$13,0)))</f>
        <v>9564</v>
      </c>
      <c r="G25" s="360">
        <f>IF(($A25+G$6)&gt;約款料金!$C$9,ROUNDDOWN(($A25+G$6)*(約款料金!$D$14+$J$4)+約款料金!$D$13,0),IF(($A25+G$6)&gt;約款料金!$B$9,ROUNDDOWN(($A25+G$6)*(約款料金!$C$14+$J$4)+約款料金!$C$13,0),ROUNDDOWN(($A25+G$6)*(約款料金!$B$14+$J$4)+約款料金!$B$13,0)))</f>
        <v>9609</v>
      </c>
      <c r="H25" s="360">
        <f>IF(($A25+H$6)&gt;約款料金!$C$9,ROUNDDOWN(($A25+H$6)*(約款料金!$D$14+$J$4)+約款料金!$D$13,0),IF(($A25+H$6)&gt;約款料金!$B$9,ROUNDDOWN(($A25+H$6)*(約款料金!$C$14+$J$4)+約款料金!$C$13,0),ROUNDDOWN(($A25+H$6)*(約款料金!$B$14+$J$4)+約款料金!$B$13,0)))</f>
        <v>9653</v>
      </c>
      <c r="I25" s="360">
        <f>IF(($A25+I$6)&gt;約款料金!$C$9,ROUNDDOWN(($A25+I$6)*(約款料金!$D$14+$J$4)+約款料金!$D$13,0),IF(($A25+I$6)&gt;約款料金!$B$9,ROUNDDOWN(($A25+I$6)*(約款料金!$C$14+$J$4)+約款料金!$C$13,0),ROUNDDOWN(($A25+I$6)*(約款料金!$B$14+$J$4)+約款料金!$B$13,0)))</f>
        <v>9698</v>
      </c>
      <c r="J25" s="360">
        <f>IF(($A25+J$6)&gt;約款料金!$C$9,ROUNDDOWN(($A25+J$6)*(約款料金!$D$14+$J$4)+約款料金!$D$13,0),IF(($A25+J$6)&gt;約款料金!$B$9,ROUNDDOWN(($A25+J$6)*(約款料金!$C$14+$J$4)+約款料金!$C$13,0),ROUNDDOWN(($A25+J$6)*(約款料金!$B$14+$J$4)+約款料金!$B$13,0)))</f>
        <v>9743</v>
      </c>
      <c r="K25" s="366">
        <f>IF(($A25+K$6)&gt;約款料金!$C$9,ROUNDDOWN(($A25+K$6)*(約款料金!$D$14+$J$4)+約款料金!$D$13,0),IF(($A25+K$6)&gt;約款料金!$B$9,ROUNDDOWN(($A25+K$6)*(約款料金!$C$14+$J$4)+約款料金!$C$13,0),ROUNDDOWN(($A25+K$6)*(約款料金!$B$14+$J$4)+約款料金!$B$13,0)))</f>
        <v>9788</v>
      </c>
    </row>
    <row r="26" spans="1:11">
      <c r="A26" s="380">
        <v>19</v>
      </c>
      <c r="B26" s="365">
        <f>IF(($A26+B$6)&gt;約款料金!$C$9,ROUNDDOWN(($A26+B$6)*(約款料金!$D$14+$J$4)+約款料金!$D$13,0),IF(($A26+B$6)&gt;約款料金!$B$9,ROUNDDOWN(($A26+B$6)*(約款料金!$C$14+$J$4)+約款料金!$C$13,0),ROUNDDOWN(($A26+B$6)*(約款料金!$B$14+$J$4)+約款料金!$B$13,0)))</f>
        <v>9833</v>
      </c>
      <c r="C26" s="360">
        <f>IF(($A26+C$6)&gt;約款料金!$C$9,ROUNDDOWN(($A26+C$6)*(約款料金!$D$14+$J$4)+約款料金!$D$13,0),IF(($A26+C$6)&gt;約款料金!$B$9,ROUNDDOWN(($A26+C$6)*(約款料金!$C$14+$J$4)+約款料金!$C$13,0),ROUNDDOWN(($A26+C$6)*(約款料金!$B$14+$J$4)+約款料金!$B$13,0)))</f>
        <v>9877</v>
      </c>
      <c r="D26" s="360">
        <f>IF(($A26+D$6)&gt;約款料金!$C$9,ROUNDDOWN(($A26+D$6)*(約款料金!$D$14+$J$4)+約款料金!$D$13,0),IF(($A26+D$6)&gt;約款料金!$B$9,ROUNDDOWN(($A26+D$6)*(約款料金!$C$14+$J$4)+約款料金!$C$13,0),ROUNDDOWN(($A26+D$6)*(約款料金!$B$14+$J$4)+約款料金!$B$13,0)))</f>
        <v>9922</v>
      </c>
      <c r="E26" s="360">
        <f>IF(($A26+E$6)&gt;約款料金!$C$9,ROUNDDOWN(($A26+E$6)*(約款料金!$D$14+$J$4)+約款料金!$D$13,0),IF(($A26+E$6)&gt;約款料金!$B$9,ROUNDDOWN(($A26+E$6)*(約款料金!$C$14+$J$4)+約款料金!$C$13,0),ROUNDDOWN(($A26+E$6)*(約款料金!$B$14+$J$4)+約款料金!$B$13,0)))</f>
        <v>9967</v>
      </c>
      <c r="F26" s="360">
        <f>IF(($A26+F$6)&gt;約款料金!$C$9,ROUNDDOWN(($A26+F$6)*(約款料金!$D$14+$J$4)+約款料金!$D$13,0),IF(($A26+F$6)&gt;約款料金!$B$9,ROUNDDOWN(($A26+F$6)*(約款料金!$C$14+$J$4)+約款料金!$C$13,0),ROUNDDOWN(($A26+F$6)*(約款料金!$B$14+$J$4)+約款料金!$B$13,0)))</f>
        <v>10012</v>
      </c>
      <c r="G26" s="360">
        <f>IF(($A26+G$6)&gt;約款料金!$C$9,ROUNDDOWN(($A26+G$6)*(約款料金!$D$14+$J$4)+約款料金!$D$13,0),IF(($A26+G$6)&gt;約款料金!$B$9,ROUNDDOWN(($A26+G$6)*(約款料金!$C$14+$J$4)+約款料金!$C$13,0),ROUNDDOWN(($A26+G$6)*(約款料金!$B$14+$J$4)+約款料金!$B$13,0)))</f>
        <v>10057</v>
      </c>
      <c r="H26" s="360">
        <f>IF(($A26+H$6)&gt;約款料金!$C$9,ROUNDDOWN(($A26+H$6)*(約款料金!$D$14+$J$4)+約款料金!$D$13,0),IF(($A26+H$6)&gt;約款料金!$B$9,ROUNDDOWN(($A26+H$6)*(約款料金!$C$14+$J$4)+約款料金!$C$13,0),ROUNDDOWN(($A26+H$6)*(約款料金!$B$14+$J$4)+約款料金!$B$13,0)))</f>
        <v>10101</v>
      </c>
      <c r="I26" s="360">
        <f>IF(($A26+I$6)&gt;約款料金!$C$9,ROUNDDOWN(($A26+I$6)*(約款料金!$D$14+$J$4)+約款料金!$D$13,0),IF(($A26+I$6)&gt;約款料金!$B$9,ROUNDDOWN(($A26+I$6)*(約款料金!$C$14+$J$4)+約款料金!$C$13,0),ROUNDDOWN(($A26+I$6)*(約款料金!$B$14+$J$4)+約款料金!$B$13,0)))</f>
        <v>10146</v>
      </c>
      <c r="J26" s="360">
        <f>IF(($A26+J$6)&gt;約款料金!$C$9,ROUNDDOWN(($A26+J$6)*(約款料金!$D$14+$J$4)+約款料金!$D$13,0),IF(($A26+J$6)&gt;約款料金!$B$9,ROUNDDOWN(($A26+J$6)*(約款料金!$C$14+$J$4)+約款料金!$C$13,0),ROUNDDOWN(($A26+J$6)*(約款料金!$B$14+$J$4)+約款料金!$B$13,0)))</f>
        <v>10191</v>
      </c>
      <c r="K26" s="366">
        <f>IF(($A26+K$6)&gt;約款料金!$C$9,ROUNDDOWN(($A26+K$6)*(約款料金!$D$14+$J$4)+約款料金!$D$13,0),IF(($A26+K$6)&gt;約款料金!$B$9,ROUNDDOWN(($A26+K$6)*(約款料金!$C$14+$J$4)+約款料金!$C$13,0),ROUNDDOWN(($A26+K$6)*(約款料金!$B$14+$J$4)+約款料金!$B$13,0)))</f>
        <v>10236</v>
      </c>
    </row>
    <row r="27" spans="1:11">
      <c r="A27" s="382">
        <v>20</v>
      </c>
      <c r="B27" s="371">
        <f>IF(($A27+B$6)&gt;約款料金!$C$9,ROUNDDOWN(($A27+B$6)*(約款料金!$D$14+$J$4)+約款料金!$D$13,0),IF(($A27+B$6)&gt;約款料金!$B$9,ROUNDDOWN(($A27+B$6)*(約款料金!$C$14+$J$4)+約款料金!$C$13,0),ROUNDDOWN(($A27+B$6)*(約款料金!$B$14+$J$4)+約款料金!$B$13,0)))</f>
        <v>10281</v>
      </c>
      <c r="C27" s="372">
        <f>IF(($A27+C$6)&gt;約款料金!$C$9,ROUNDDOWN(($A27+C$6)*(約款料金!$D$14+$J$4)+約款料金!$D$13,0),IF(($A27+C$6)&gt;約款料金!$B$9,ROUNDDOWN(($A27+C$6)*(約款料金!$C$14+$J$4)+約款料金!$C$13,0),ROUNDDOWN(($A27+C$6)*(約款料金!$B$14+$J$4)+約款料金!$B$13,0)))</f>
        <v>10326</v>
      </c>
      <c r="D27" s="372">
        <f>IF(($A27+D$6)&gt;約款料金!$C$9,ROUNDDOWN(($A27+D$6)*(約款料金!$D$14+$J$4)+約款料金!$D$13,0),IF(($A27+D$6)&gt;約款料金!$B$9,ROUNDDOWN(($A27+D$6)*(約款料金!$C$14+$J$4)+約款料金!$C$13,0),ROUNDDOWN(($A27+D$6)*(約款料金!$B$14+$J$4)+約款料金!$B$13,0)))</f>
        <v>10370</v>
      </c>
      <c r="E27" s="372">
        <f>IF(($A27+E$6)&gt;約款料金!$C$9,ROUNDDOWN(($A27+E$6)*(約款料金!$D$14+$J$4)+約款料金!$D$13,0),IF(($A27+E$6)&gt;約款料金!$B$9,ROUNDDOWN(($A27+E$6)*(約款料金!$C$14+$J$4)+約款料金!$C$13,0),ROUNDDOWN(($A27+E$6)*(約款料金!$B$14+$J$4)+約款料金!$B$13,0)))</f>
        <v>10415</v>
      </c>
      <c r="F27" s="372">
        <f>IF(($A27+F$6)&gt;約款料金!$C$9,ROUNDDOWN(($A27+F$6)*(約款料金!$D$14+$J$4)+約款料金!$D$13,0),IF(($A27+F$6)&gt;約款料金!$B$9,ROUNDDOWN(($A27+F$6)*(約款料金!$C$14+$J$4)+約款料金!$C$13,0),ROUNDDOWN(($A27+F$6)*(約款料金!$B$14+$J$4)+約款料金!$B$13,0)))</f>
        <v>10460</v>
      </c>
      <c r="G27" s="372">
        <f>IF(($A27+G$6)&gt;約款料金!$C$9,ROUNDDOWN(($A27+G$6)*(約款料金!$D$14+$J$4)+約款料金!$D$13,0),IF(($A27+G$6)&gt;約款料金!$B$9,ROUNDDOWN(($A27+G$6)*(約款料金!$C$14+$J$4)+約款料金!$C$13,0),ROUNDDOWN(($A27+G$6)*(約款料金!$B$14+$J$4)+約款料金!$B$13,0)))</f>
        <v>10505</v>
      </c>
      <c r="H27" s="372">
        <f>IF(($A27+H$6)&gt;約款料金!$C$9,ROUNDDOWN(($A27+H$6)*(約款料金!$D$14+$J$4)+約款料金!$D$13,0),IF(($A27+H$6)&gt;約款料金!$B$9,ROUNDDOWN(($A27+H$6)*(約款料金!$C$14+$J$4)+約款料金!$C$13,0),ROUNDDOWN(($A27+H$6)*(約款料金!$B$14+$J$4)+約款料金!$B$13,0)))</f>
        <v>10550</v>
      </c>
      <c r="I27" s="372">
        <f>IF(($A27+I$6)&gt;約款料金!$C$9,ROUNDDOWN(($A27+I$6)*(約款料金!$D$14+$J$4)+約款料金!$D$13,0),IF(($A27+I$6)&gt;約款料金!$B$9,ROUNDDOWN(($A27+I$6)*(約款料金!$C$14+$J$4)+約款料金!$C$13,0),ROUNDDOWN(($A27+I$6)*(約款料金!$B$14+$J$4)+約款料金!$B$13,0)))</f>
        <v>10594</v>
      </c>
      <c r="J27" s="372">
        <f>IF(($A27+J$6)&gt;約款料金!$C$9,ROUNDDOWN(($A27+J$6)*(約款料金!$D$14+$J$4)+約款料金!$D$13,0),IF(($A27+J$6)&gt;約款料金!$B$9,ROUNDDOWN(($A27+J$6)*(約款料金!$C$14+$J$4)+約款料金!$C$13,0),ROUNDDOWN(($A27+J$6)*(約款料金!$B$14+$J$4)+約款料金!$B$13,0)))</f>
        <v>10639</v>
      </c>
      <c r="K27" s="373">
        <f>IF(($A27+K$6)&gt;約款料金!$C$9,ROUNDDOWN(($A27+K$6)*(約款料金!$D$14+$J$4)+約款料金!$D$13,0),IF(($A27+K$6)&gt;約款料金!$B$9,ROUNDDOWN(($A27+K$6)*(約款料金!$C$14+$J$4)+約款料金!$C$13,0),ROUNDDOWN(($A27+K$6)*(約款料金!$B$14+$J$4)+約款料金!$B$13,0)))</f>
        <v>10684</v>
      </c>
    </row>
    <row r="28" spans="1:11">
      <c r="A28" s="379">
        <v>21</v>
      </c>
      <c r="B28" s="365">
        <f>IF(($A28+B$6)&gt;約款料金!$C$9,ROUNDDOWN(($A28+B$6)*(約款料金!$D$14+$J$4)+約款料金!$D$13,0),IF(($A28+B$6)&gt;約款料金!$B$9,ROUNDDOWN(($A28+B$6)*(約款料金!$C$14+$J$4)+約款料金!$C$13,0),ROUNDDOWN(($A28+B$6)*(約款料金!$B$14+$J$4)+約款料金!$B$13,0)))</f>
        <v>10729</v>
      </c>
      <c r="C28" s="360">
        <f>IF(($A28+C$6)&gt;約款料金!$C$9,ROUNDDOWN(($A28+C$6)*(約款料金!$D$14+$J$4)+約款料金!$D$13,0),IF(($A28+C$6)&gt;約款料金!$B$9,ROUNDDOWN(($A28+C$6)*(約款料金!$C$14+$J$4)+約款料金!$C$13,0),ROUNDDOWN(($A28+C$6)*(約款料金!$B$14+$J$4)+約款料金!$B$13,0)))</f>
        <v>10774</v>
      </c>
      <c r="D28" s="360">
        <f>IF(($A28+D$6)&gt;約款料金!$C$9,ROUNDDOWN(($A28+D$6)*(約款料金!$D$14+$J$4)+約款料金!$D$13,0),IF(($A28+D$6)&gt;約款料金!$B$9,ROUNDDOWN(($A28+D$6)*(約款料金!$C$14+$J$4)+約款料金!$C$13,0),ROUNDDOWN(($A28+D$6)*(約款料金!$B$14+$J$4)+約款料金!$B$13,0)))</f>
        <v>10818</v>
      </c>
      <c r="E28" s="360">
        <f>IF(($A28+E$6)&gt;約款料金!$C$9,ROUNDDOWN(($A28+E$6)*(約款料金!$D$14+$J$4)+約款料金!$D$13,0),IF(($A28+E$6)&gt;約款料金!$B$9,ROUNDDOWN(($A28+E$6)*(約款料金!$C$14+$J$4)+約款料金!$C$13,0),ROUNDDOWN(($A28+E$6)*(約款料金!$B$14+$J$4)+約款料金!$B$13,0)))</f>
        <v>10863</v>
      </c>
      <c r="F28" s="360">
        <f>IF(($A28+F$6)&gt;約款料金!$C$9,ROUNDDOWN(($A28+F$6)*(約款料金!$D$14+$J$4)+約款料金!$D$13,0),IF(($A28+F$6)&gt;約款料金!$B$9,ROUNDDOWN(($A28+F$6)*(約款料金!$C$14+$J$4)+約款料金!$C$13,0),ROUNDDOWN(($A28+F$6)*(約款料金!$B$14+$J$4)+約款料金!$B$13,0)))</f>
        <v>10908</v>
      </c>
      <c r="G28" s="360">
        <f>IF(($A28+G$6)&gt;約款料金!$C$9,ROUNDDOWN(($A28+G$6)*(約款料金!$D$14+$J$4)+約款料金!$D$13,0),IF(($A28+G$6)&gt;約款料金!$B$9,ROUNDDOWN(($A28+G$6)*(約款料金!$C$14+$J$4)+約款料金!$C$13,0),ROUNDDOWN(($A28+G$6)*(約款料金!$B$14+$J$4)+約款料金!$B$13,0)))</f>
        <v>10953</v>
      </c>
      <c r="H28" s="360">
        <f>IF(($A28+H$6)&gt;約款料金!$C$9,ROUNDDOWN(($A28+H$6)*(約款料金!$D$14+$J$4)+約款料金!$D$13,0),IF(($A28+H$6)&gt;約款料金!$B$9,ROUNDDOWN(($A28+H$6)*(約款料金!$C$14+$J$4)+約款料金!$C$13,0),ROUNDDOWN(($A28+H$6)*(約款料金!$B$14+$J$4)+約款料金!$B$13,0)))</f>
        <v>10998</v>
      </c>
      <c r="I28" s="360">
        <f>IF(($A28+I$6)&gt;約款料金!$C$9,ROUNDDOWN(($A28+I$6)*(約款料金!$D$14+$J$4)+約款料金!$D$13,0),IF(($A28+I$6)&gt;約款料金!$B$9,ROUNDDOWN(($A28+I$6)*(約款料金!$C$14+$J$4)+約款料金!$C$13,0),ROUNDDOWN(($A28+I$6)*(約款料金!$B$14+$J$4)+約款料金!$B$13,0)))</f>
        <v>11042</v>
      </c>
      <c r="J28" s="360">
        <f>IF(($A28+J$6)&gt;約款料金!$C$9,ROUNDDOWN(($A28+J$6)*(約款料金!$D$14+$J$4)+約款料金!$D$13,0),IF(($A28+J$6)&gt;約款料金!$B$9,ROUNDDOWN(($A28+J$6)*(約款料金!$C$14+$J$4)+約款料金!$C$13,0),ROUNDDOWN(($A28+J$6)*(約款料金!$B$14+$J$4)+約款料金!$B$13,0)))</f>
        <v>11087</v>
      </c>
      <c r="K28" s="366">
        <f>IF(($A28+K$6)&gt;約款料金!$C$9,ROUNDDOWN(($A28+K$6)*(約款料金!$D$14+$J$4)+約款料金!$D$13,0),IF(($A28+K$6)&gt;約款料金!$B$9,ROUNDDOWN(($A28+K$6)*(約款料金!$C$14+$J$4)+約款料金!$C$13,0),ROUNDDOWN(($A28+K$6)*(約款料金!$B$14+$J$4)+約款料金!$B$13,0)))</f>
        <v>11132</v>
      </c>
    </row>
    <row r="29" spans="1:11">
      <c r="A29" s="380">
        <v>22</v>
      </c>
      <c r="B29" s="365">
        <f>IF(($A29+B$6)&gt;約款料金!$C$9,ROUNDDOWN(($A29+B$6)*(約款料金!$D$14+$J$4)+約款料金!$D$13,0),IF(($A29+B$6)&gt;約款料金!$B$9,ROUNDDOWN(($A29+B$6)*(約款料金!$C$14+$J$4)+約款料金!$C$13,0),ROUNDDOWN(($A29+B$6)*(約款料金!$B$14+$J$4)+約款料金!$B$13,0)))</f>
        <v>11177</v>
      </c>
      <c r="C29" s="360">
        <f>IF(($A29+C$6)&gt;約款料金!$C$9,ROUNDDOWN(($A29+C$6)*(約款料金!$D$14+$J$4)+約款料金!$D$13,0),IF(($A29+C$6)&gt;約款料金!$B$9,ROUNDDOWN(($A29+C$6)*(約款料金!$C$14+$J$4)+約款料金!$C$13,0),ROUNDDOWN(($A29+C$6)*(約款料金!$B$14+$J$4)+約款料金!$B$13,0)))</f>
        <v>11222</v>
      </c>
      <c r="D29" s="360">
        <f>IF(($A29+D$6)&gt;約款料金!$C$9,ROUNDDOWN(($A29+D$6)*(約款料金!$D$14+$J$4)+約款料金!$D$13,0),IF(($A29+D$6)&gt;約款料金!$B$9,ROUNDDOWN(($A29+D$6)*(約款料金!$C$14+$J$4)+約款料金!$C$13,0),ROUNDDOWN(($A29+D$6)*(約款料金!$B$14+$J$4)+約款料金!$B$13,0)))</f>
        <v>11267</v>
      </c>
      <c r="E29" s="360">
        <f>IF(($A29+E$6)&gt;約款料金!$C$9,ROUNDDOWN(($A29+E$6)*(約款料金!$D$14+$J$4)+約款料金!$D$13,0),IF(($A29+E$6)&gt;約款料金!$B$9,ROUNDDOWN(($A29+E$6)*(約款料金!$C$14+$J$4)+約款料金!$C$13,0),ROUNDDOWN(($A29+E$6)*(約款料金!$B$14+$J$4)+約款料金!$B$13,0)))</f>
        <v>11311</v>
      </c>
      <c r="F29" s="360">
        <f>IF(($A29+F$6)&gt;約款料金!$C$9,ROUNDDOWN(($A29+F$6)*(約款料金!$D$14+$J$4)+約款料金!$D$13,0),IF(($A29+F$6)&gt;約款料金!$B$9,ROUNDDOWN(($A29+F$6)*(約款料金!$C$14+$J$4)+約款料金!$C$13,0),ROUNDDOWN(($A29+F$6)*(約款料金!$B$14+$J$4)+約款料金!$B$13,0)))</f>
        <v>11356</v>
      </c>
      <c r="G29" s="360">
        <f>IF(($A29+G$6)&gt;約款料金!$C$9,ROUNDDOWN(($A29+G$6)*(約款料金!$D$14+$J$4)+約款料金!$D$13,0),IF(($A29+G$6)&gt;約款料金!$B$9,ROUNDDOWN(($A29+G$6)*(約款料金!$C$14+$J$4)+約款料金!$C$13,0),ROUNDDOWN(($A29+G$6)*(約款料金!$B$14+$J$4)+約款料金!$B$13,0)))</f>
        <v>11401</v>
      </c>
      <c r="H29" s="360">
        <f>IF(($A29+H$6)&gt;約款料金!$C$9,ROUNDDOWN(($A29+H$6)*(約款料金!$D$14+$J$4)+約款料金!$D$13,0),IF(($A29+H$6)&gt;約款料金!$B$9,ROUNDDOWN(($A29+H$6)*(約款料金!$C$14+$J$4)+約款料金!$C$13,0),ROUNDDOWN(($A29+H$6)*(約款料金!$B$14+$J$4)+約款料金!$B$13,0)))</f>
        <v>11446</v>
      </c>
      <c r="I29" s="360">
        <f>IF(($A29+I$6)&gt;約款料金!$C$9,ROUNDDOWN(($A29+I$6)*(約款料金!$D$14+$J$4)+約款料金!$D$13,0),IF(($A29+I$6)&gt;約款料金!$B$9,ROUNDDOWN(($A29+I$6)*(約款料金!$C$14+$J$4)+約款料金!$C$13,0),ROUNDDOWN(($A29+I$6)*(約款料金!$B$14+$J$4)+約款料金!$B$13,0)))</f>
        <v>11491</v>
      </c>
      <c r="J29" s="360">
        <f>IF(($A29+J$6)&gt;約款料金!$C$9,ROUNDDOWN(($A29+J$6)*(約款料金!$D$14+$J$4)+約款料金!$D$13,0),IF(($A29+J$6)&gt;約款料金!$B$9,ROUNDDOWN(($A29+J$6)*(約款料金!$C$14+$J$4)+約款料金!$C$13,0),ROUNDDOWN(($A29+J$6)*(約款料金!$B$14+$J$4)+約款料金!$B$13,0)))</f>
        <v>11535</v>
      </c>
      <c r="K29" s="366">
        <f>IF(($A29+K$6)&gt;約款料金!$C$9,ROUNDDOWN(($A29+K$6)*(約款料金!$D$14+$J$4)+約款料金!$D$13,0),IF(($A29+K$6)&gt;約款料金!$B$9,ROUNDDOWN(($A29+K$6)*(約款料金!$C$14+$J$4)+約款料金!$C$13,0),ROUNDDOWN(($A29+K$6)*(約款料金!$B$14+$J$4)+約款料金!$B$13,0)))</f>
        <v>11580</v>
      </c>
    </row>
    <row r="30" spans="1:11">
      <c r="A30" s="380">
        <v>23</v>
      </c>
      <c r="B30" s="365">
        <f>IF(($A30+B$6)&gt;約款料金!$C$9,ROUNDDOWN(($A30+B$6)*(約款料金!$D$14+$J$4)+約款料金!$D$13,0),IF(($A30+B$6)&gt;約款料金!$B$9,ROUNDDOWN(($A30+B$6)*(約款料金!$C$14+$J$4)+約款料金!$C$13,0),ROUNDDOWN(($A30+B$6)*(約款料金!$B$14+$J$4)+約款料金!$B$13,0)))</f>
        <v>11625</v>
      </c>
      <c r="C30" s="360">
        <f>IF(($A30+C$6)&gt;約款料金!$C$9,ROUNDDOWN(($A30+C$6)*(約款料金!$D$14+$J$4)+約款料金!$D$13,0),IF(($A30+C$6)&gt;約款料金!$B$9,ROUNDDOWN(($A30+C$6)*(約款料金!$C$14+$J$4)+約款料金!$C$13,0),ROUNDDOWN(($A30+C$6)*(約款料金!$B$14+$J$4)+約款料金!$B$13,0)))</f>
        <v>11670</v>
      </c>
      <c r="D30" s="360">
        <f>IF(($A30+D$6)&gt;約款料金!$C$9,ROUNDDOWN(($A30+D$6)*(約款料金!$D$14+$J$4)+約款料金!$D$13,0),IF(($A30+D$6)&gt;約款料金!$B$9,ROUNDDOWN(($A30+D$6)*(約款料金!$C$14+$J$4)+約款料金!$C$13,0),ROUNDDOWN(($A30+D$6)*(約款料金!$B$14+$J$4)+約款料金!$B$13,0)))</f>
        <v>11715</v>
      </c>
      <c r="E30" s="360">
        <f>IF(($A30+E$6)&gt;約款料金!$C$9,ROUNDDOWN(($A30+E$6)*(約款料金!$D$14+$J$4)+約款料金!$D$13,0),IF(($A30+E$6)&gt;約款料金!$B$9,ROUNDDOWN(($A30+E$6)*(約款料金!$C$14+$J$4)+約款料金!$C$13,0),ROUNDDOWN(($A30+E$6)*(約款料金!$B$14+$J$4)+約款料金!$B$13,0)))</f>
        <v>11759</v>
      </c>
      <c r="F30" s="360">
        <f>IF(($A30+F$6)&gt;約款料金!$C$9,ROUNDDOWN(($A30+F$6)*(約款料金!$D$14+$J$4)+約款料金!$D$13,0),IF(($A30+F$6)&gt;約款料金!$B$9,ROUNDDOWN(($A30+F$6)*(約款料金!$C$14+$J$4)+約款料金!$C$13,0),ROUNDDOWN(($A30+F$6)*(約款料金!$B$14+$J$4)+約款料金!$B$13,0)))</f>
        <v>11804</v>
      </c>
      <c r="G30" s="360">
        <f>IF(($A30+G$6)&gt;約款料金!$C$9,ROUNDDOWN(($A30+G$6)*(約款料金!$D$14+$J$4)+約款料金!$D$13,0),IF(($A30+G$6)&gt;約款料金!$B$9,ROUNDDOWN(($A30+G$6)*(約款料金!$C$14+$J$4)+約款料金!$C$13,0),ROUNDDOWN(($A30+G$6)*(約款料金!$B$14+$J$4)+約款料金!$B$13,0)))</f>
        <v>11849</v>
      </c>
      <c r="H30" s="360">
        <f>IF(($A30+H$6)&gt;約款料金!$C$9,ROUNDDOWN(($A30+H$6)*(約款料金!$D$14+$J$4)+約款料金!$D$13,0),IF(($A30+H$6)&gt;約款料金!$B$9,ROUNDDOWN(($A30+H$6)*(約款料金!$C$14+$J$4)+約款料金!$C$13,0),ROUNDDOWN(($A30+H$6)*(約款料金!$B$14+$J$4)+約款料金!$B$13,0)))</f>
        <v>11894</v>
      </c>
      <c r="I30" s="360">
        <f>IF(($A30+I$6)&gt;約款料金!$C$9,ROUNDDOWN(($A30+I$6)*(約款料金!$D$14+$J$4)+約款料金!$D$13,0),IF(($A30+I$6)&gt;約款料金!$B$9,ROUNDDOWN(($A30+I$6)*(約款料金!$C$14+$J$4)+約款料金!$C$13,0),ROUNDDOWN(($A30+I$6)*(約款料金!$B$14+$J$4)+約款料金!$B$13,0)))</f>
        <v>11939</v>
      </c>
      <c r="J30" s="360">
        <f>IF(($A30+J$6)&gt;約款料金!$C$9,ROUNDDOWN(($A30+J$6)*(約款料金!$D$14+$J$4)+約款料金!$D$13,0),IF(($A30+J$6)&gt;約款料金!$B$9,ROUNDDOWN(($A30+J$6)*(約款料金!$C$14+$J$4)+約款料金!$C$13,0),ROUNDDOWN(($A30+J$6)*(約款料金!$B$14+$J$4)+約款料金!$B$13,0)))</f>
        <v>11983</v>
      </c>
      <c r="K30" s="366">
        <f>IF(($A30+K$6)&gt;約款料金!$C$9,ROUNDDOWN(($A30+K$6)*(約款料金!$D$14+$J$4)+約款料金!$D$13,0),IF(($A30+K$6)&gt;約款料金!$B$9,ROUNDDOWN(($A30+K$6)*(約款料金!$C$14+$J$4)+約款料金!$C$13,0),ROUNDDOWN(($A30+K$6)*(約款料金!$B$14+$J$4)+約款料金!$B$13,0)))</f>
        <v>12028</v>
      </c>
    </row>
    <row r="31" spans="1:11">
      <c r="A31" s="380">
        <v>24</v>
      </c>
      <c r="B31" s="365">
        <f>IF(($A31+B$6)&gt;約款料金!$C$9,ROUNDDOWN(($A31+B$6)*(約款料金!$D$14+$J$4)+約款料金!$D$13,0),IF(($A31+B$6)&gt;約款料金!$B$9,ROUNDDOWN(($A31+B$6)*(約款料金!$C$14+$J$4)+約款料金!$C$13,0),ROUNDDOWN(($A31+B$6)*(約款料金!$B$14+$J$4)+約款料金!$B$13,0)))</f>
        <v>12073</v>
      </c>
      <c r="C31" s="360">
        <f>IF(($A31+C$6)&gt;約款料金!$C$9,ROUNDDOWN(($A31+C$6)*(約款料金!$D$14+$J$4)+約款料金!$D$13,0),IF(($A31+C$6)&gt;約款料金!$B$9,ROUNDDOWN(($A31+C$6)*(約款料金!$C$14+$J$4)+約款料金!$C$13,0),ROUNDDOWN(($A31+C$6)*(約款料金!$B$14+$J$4)+約款料金!$B$13,0)))</f>
        <v>12118</v>
      </c>
      <c r="D31" s="360">
        <f>IF(($A31+D$6)&gt;約款料金!$C$9,ROUNDDOWN(($A31+D$6)*(約款料金!$D$14+$J$4)+約款料金!$D$13,0),IF(($A31+D$6)&gt;約款料金!$B$9,ROUNDDOWN(($A31+D$6)*(約款料金!$C$14+$J$4)+約款料金!$C$13,0),ROUNDDOWN(($A31+D$6)*(約款料金!$B$14+$J$4)+約款料金!$B$13,0)))</f>
        <v>12163</v>
      </c>
      <c r="E31" s="360">
        <f>IF(($A31+E$6)&gt;約款料金!$C$9,ROUNDDOWN(($A31+E$6)*(約款料金!$D$14+$J$4)+約款料金!$D$13,0),IF(($A31+E$6)&gt;約款料金!$B$9,ROUNDDOWN(($A31+E$6)*(約款料金!$C$14+$J$4)+約款料金!$C$13,0),ROUNDDOWN(($A31+E$6)*(約款料金!$B$14+$J$4)+約款料金!$B$13,0)))</f>
        <v>12208</v>
      </c>
      <c r="F31" s="360">
        <f>IF(($A31+F$6)&gt;約款料金!$C$9,ROUNDDOWN(($A31+F$6)*(約款料金!$D$14+$J$4)+約款料金!$D$13,0),IF(($A31+F$6)&gt;約款料金!$B$9,ROUNDDOWN(($A31+F$6)*(約款料金!$C$14+$J$4)+約款料金!$C$13,0),ROUNDDOWN(($A31+F$6)*(約款料金!$B$14+$J$4)+約款料金!$B$13,0)))</f>
        <v>12252</v>
      </c>
      <c r="G31" s="360">
        <f>IF(($A31+G$6)&gt;約款料金!$C$9,ROUNDDOWN(($A31+G$6)*(約款料金!$D$14+$J$4)+約款料金!$D$13,0),IF(($A31+G$6)&gt;約款料金!$B$9,ROUNDDOWN(($A31+G$6)*(約款料金!$C$14+$J$4)+約款料金!$C$13,0),ROUNDDOWN(($A31+G$6)*(約款料金!$B$14+$J$4)+約款料金!$B$13,0)))</f>
        <v>12297</v>
      </c>
      <c r="H31" s="360">
        <f>IF(($A31+H$6)&gt;約款料金!$C$9,ROUNDDOWN(($A31+H$6)*(約款料金!$D$14+$J$4)+約款料金!$D$13,0),IF(($A31+H$6)&gt;約款料金!$B$9,ROUNDDOWN(($A31+H$6)*(約款料金!$C$14+$J$4)+約款料金!$C$13,0),ROUNDDOWN(($A31+H$6)*(約款料金!$B$14+$J$4)+約款料金!$B$13,0)))</f>
        <v>12342</v>
      </c>
      <c r="I31" s="360">
        <f>IF(($A31+I$6)&gt;約款料金!$C$9,ROUNDDOWN(($A31+I$6)*(約款料金!$D$14+$J$4)+約款料金!$D$13,0),IF(($A31+I$6)&gt;約款料金!$B$9,ROUNDDOWN(($A31+I$6)*(約款料金!$C$14+$J$4)+約款料金!$C$13,0),ROUNDDOWN(($A31+I$6)*(約款料金!$B$14+$J$4)+約款料金!$B$13,0)))</f>
        <v>12387</v>
      </c>
      <c r="J31" s="360">
        <f>IF(($A31+J$6)&gt;約款料金!$C$9,ROUNDDOWN(($A31+J$6)*(約款料金!$D$14+$J$4)+約款料金!$D$13,0),IF(($A31+J$6)&gt;約款料金!$B$9,ROUNDDOWN(($A31+J$6)*(約款料金!$C$14+$J$4)+約款料金!$C$13,0),ROUNDDOWN(($A31+J$6)*(約款料金!$B$14+$J$4)+約款料金!$B$13,0)))</f>
        <v>12432</v>
      </c>
      <c r="K31" s="366">
        <f>IF(($A31+K$6)&gt;約款料金!$C$9,ROUNDDOWN(($A31+K$6)*(約款料金!$D$14+$J$4)+約款料金!$D$13,0),IF(($A31+K$6)&gt;約款料金!$B$9,ROUNDDOWN(($A31+K$6)*(約款料金!$C$14+$J$4)+約款料金!$C$13,0),ROUNDDOWN(($A31+K$6)*(約款料金!$B$14+$J$4)+約款料金!$B$13,0)))</f>
        <v>12476</v>
      </c>
    </row>
    <row r="32" spans="1:11">
      <c r="A32" s="382">
        <v>25</v>
      </c>
      <c r="B32" s="371">
        <f>IF(($A32+B$6)&gt;約款料金!$C$9,ROUNDDOWN(($A32+B$6)*(約款料金!$D$14+$J$4)+約款料金!$D$13,0),IF(($A32+B$6)&gt;約款料金!$B$9,ROUNDDOWN(($A32+B$6)*(約款料金!$C$14+$J$4)+約款料金!$C$13,0),ROUNDDOWN(($A32+B$6)*(約款料金!$B$14+$J$4)+約款料金!$B$13,0)))</f>
        <v>12521</v>
      </c>
      <c r="C32" s="372">
        <f>IF(($A32+C$6)&gt;約款料金!$C$9,ROUNDDOWN(($A32+C$6)*(約款料金!$D$14+$J$4)+約款料金!$D$13,0),IF(($A32+C$6)&gt;約款料金!$B$9,ROUNDDOWN(($A32+C$6)*(約款料金!$C$14+$J$4)+約款料金!$C$13,0),ROUNDDOWN(($A32+C$6)*(約款料金!$B$14+$J$4)+約款料金!$B$13,0)))</f>
        <v>12566</v>
      </c>
      <c r="D32" s="372">
        <f>IF(($A32+D$6)&gt;約款料金!$C$9,ROUNDDOWN(($A32+D$6)*(約款料金!$D$14+$J$4)+約款料金!$D$13,0),IF(($A32+D$6)&gt;約款料金!$B$9,ROUNDDOWN(($A32+D$6)*(約款料金!$C$14+$J$4)+約款料金!$C$13,0),ROUNDDOWN(($A32+D$6)*(約款料金!$B$14+$J$4)+約款料金!$B$13,0)))</f>
        <v>12611</v>
      </c>
      <c r="E32" s="372">
        <f>IF(($A32+E$6)&gt;約款料金!$C$9,ROUNDDOWN(($A32+E$6)*(約款料金!$D$14+$J$4)+約款料金!$D$13,0),IF(($A32+E$6)&gt;約款料金!$B$9,ROUNDDOWN(($A32+E$6)*(約款料金!$C$14+$J$4)+約款料金!$C$13,0),ROUNDDOWN(($A32+E$6)*(約款料金!$B$14+$J$4)+約款料金!$B$13,0)))</f>
        <v>12656</v>
      </c>
      <c r="F32" s="372">
        <f>IF(($A32+F$6)&gt;約款料金!$C$9,ROUNDDOWN(($A32+F$6)*(約款料金!$D$14+$J$4)+約款料金!$D$13,0),IF(($A32+F$6)&gt;約款料金!$B$9,ROUNDDOWN(($A32+F$6)*(約款料金!$C$14+$J$4)+約款料金!$C$13,0),ROUNDDOWN(($A32+F$6)*(約款料金!$B$14+$J$4)+約款料金!$B$13,0)))</f>
        <v>12700</v>
      </c>
      <c r="G32" s="372">
        <f>IF(($A32+G$6)&gt;約款料金!$C$9,ROUNDDOWN(($A32+G$6)*(約款料金!$D$14+$J$4)+約款料金!$D$13,0),IF(($A32+G$6)&gt;約款料金!$B$9,ROUNDDOWN(($A32+G$6)*(約款料金!$C$14+$J$4)+約款料金!$C$13,0),ROUNDDOWN(($A32+G$6)*(約款料金!$B$14+$J$4)+約款料金!$B$13,0)))</f>
        <v>12745</v>
      </c>
      <c r="H32" s="372">
        <f>IF(($A32+H$6)&gt;約款料金!$C$9,ROUNDDOWN(($A32+H$6)*(約款料金!$D$14+$J$4)+約款料金!$D$13,0),IF(($A32+H$6)&gt;約款料金!$B$9,ROUNDDOWN(($A32+H$6)*(約款料金!$C$14+$J$4)+約款料金!$C$13,0),ROUNDDOWN(($A32+H$6)*(約款料金!$B$14+$J$4)+約款料金!$B$13,0)))</f>
        <v>12790</v>
      </c>
      <c r="I32" s="372">
        <f>IF(($A32+I$6)&gt;約款料金!$C$9,ROUNDDOWN(($A32+I$6)*(約款料金!$D$14+$J$4)+約款料金!$D$13,0),IF(($A32+I$6)&gt;約款料金!$B$9,ROUNDDOWN(($A32+I$6)*(約款料金!$C$14+$J$4)+約款料金!$C$13,0),ROUNDDOWN(($A32+I$6)*(約款料金!$B$14+$J$4)+約款料金!$B$13,0)))</f>
        <v>12835</v>
      </c>
      <c r="J32" s="372">
        <f>IF(($A32+J$6)&gt;約款料金!$C$9,ROUNDDOWN(($A32+J$6)*(約款料金!$D$14+$J$4)+約款料金!$D$13,0),IF(($A32+J$6)&gt;約款料金!$B$9,ROUNDDOWN(($A32+J$6)*(約款料金!$C$14+$J$4)+約款料金!$C$13,0),ROUNDDOWN(($A32+J$6)*(約款料金!$B$14+$J$4)+約款料金!$B$13,0)))</f>
        <v>12880</v>
      </c>
      <c r="K32" s="373">
        <f>IF(($A32+K$6)&gt;約款料金!$C$9,ROUNDDOWN(($A32+K$6)*(約款料金!$D$14+$J$4)+約款料金!$D$13,0),IF(($A32+K$6)&gt;約款料金!$B$9,ROUNDDOWN(($A32+K$6)*(約款料金!$C$14+$J$4)+約款料金!$C$13,0),ROUNDDOWN(($A32+K$6)*(約款料金!$B$14+$J$4)+約款料金!$B$13,0)))</f>
        <v>12924</v>
      </c>
    </row>
    <row r="33" spans="1:11">
      <c r="A33" s="379">
        <v>26</v>
      </c>
      <c r="B33" s="365">
        <f>IF(($A33+B$6)&gt;約款料金!$C$9,ROUNDDOWN(($A33+B$6)*(約款料金!$D$14+$J$4)+約款料金!$D$13,0),IF(($A33+B$6)&gt;約款料金!$B$9,ROUNDDOWN(($A33+B$6)*(約款料金!$C$14+$J$4)+約款料金!$C$13,0),ROUNDDOWN(($A33+B$6)*(約款料金!$B$14+$J$4)+約款料金!$B$13,0)))</f>
        <v>12969</v>
      </c>
      <c r="C33" s="360">
        <f>IF(($A33+C$6)&gt;約款料金!$C$9,ROUNDDOWN(($A33+C$6)*(約款料金!$D$14+$J$4)+約款料金!$D$13,0),IF(($A33+C$6)&gt;約款料金!$B$9,ROUNDDOWN(($A33+C$6)*(約款料金!$C$14+$J$4)+約款料金!$C$13,0),ROUNDDOWN(($A33+C$6)*(約款料金!$B$14+$J$4)+約款料金!$B$13,0)))</f>
        <v>13014</v>
      </c>
      <c r="D33" s="360">
        <f>IF(($A33+D$6)&gt;約款料金!$C$9,ROUNDDOWN(($A33+D$6)*(約款料金!$D$14+$J$4)+約款料金!$D$13,0),IF(($A33+D$6)&gt;約款料金!$B$9,ROUNDDOWN(($A33+D$6)*(約款料金!$C$14+$J$4)+約款料金!$C$13,0),ROUNDDOWN(($A33+D$6)*(約款料金!$B$14+$J$4)+約款料金!$B$13,0)))</f>
        <v>13059</v>
      </c>
      <c r="E33" s="360">
        <f>IF(($A33+E$6)&gt;約款料金!$C$9,ROUNDDOWN(($A33+E$6)*(約款料金!$D$14+$J$4)+約款料金!$D$13,0),IF(($A33+E$6)&gt;約款料金!$B$9,ROUNDDOWN(($A33+E$6)*(約款料金!$C$14+$J$4)+約款料金!$C$13,0),ROUNDDOWN(($A33+E$6)*(約款料金!$B$14+$J$4)+約款料金!$B$13,0)))</f>
        <v>13104</v>
      </c>
      <c r="F33" s="360">
        <f>IF(($A33+F$6)&gt;約款料金!$C$9,ROUNDDOWN(($A33+F$6)*(約款料金!$D$14+$J$4)+約款料金!$D$13,0),IF(($A33+F$6)&gt;約款料金!$B$9,ROUNDDOWN(($A33+F$6)*(約款料金!$C$14+$J$4)+約款料金!$C$13,0),ROUNDDOWN(($A33+F$6)*(約款料金!$B$14+$J$4)+約款料金!$B$13,0)))</f>
        <v>13149</v>
      </c>
      <c r="G33" s="360">
        <f>IF(($A33+G$6)&gt;約款料金!$C$9,ROUNDDOWN(($A33+G$6)*(約款料金!$D$14+$J$4)+約款料金!$D$13,0),IF(($A33+G$6)&gt;約款料金!$B$9,ROUNDDOWN(($A33+G$6)*(約款料金!$C$14+$J$4)+約款料金!$C$13,0),ROUNDDOWN(($A33+G$6)*(約款料金!$B$14+$J$4)+約款料金!$B$13,0)))</f>
        <v>13193</v>
      </c>
      <c r="H33" s="360">
        <f>IF(($A33+H$6)&gt;約款料金!$C$9,ROUNDDOWN(($A33+H$6)*(約款料金!$D$14+$J$4)+約款料金!$D$13,0),IF(($A33+H$6)&gt;約款料金!$B$9,ROUNDDOWN(($A33+H$6)*(約款料金!$C$14+$J$4)+約款料金!$C$13,0),ROUNDDOWN(($A33+H$6)*(約款料金!$B$14+$J$4)+約款料金!$B$13,0)))</f>
        <v>13238</v>
      </c>
      <c r="I33" s="360">
        <f>IF(($A33+I$6)&gt;約款料金!$C$9,ROUNDDOWN(($A33+I$6)*(約款料金!$D$14+$J$4)+約款料金!$D$13,0),IF(($A33+I$6)&gt;約款料金!$B$9,ROUNDDOWN(($A33+I$6)*(約款料金!$C$14+$J$4)+約款料金!$C$13,0),ROUNDDOWN(($A33+I$6)*(約款料金!$B$14+$J$4)+約款料金!$B$13,0)))</f>
        <v>13283</v>
      </c>
      <c r="J33" s="360">
        <f>IF(($A33+J$6)&gt;約款料金!$C$9,ROUNDDOWN(($A33+J$6)*(約款料金!$D$14+$J$4)+約款料金!$D$13,0),IF(($A33+J$6)&gt;約款料金!$B$9,ROUNDDOWN(($A33+J$6)*(約款料金!$C$14+$J$4)+約款料金!$C$13,0),ROUNDDOWN(($A33+J$6)*(約款料金!$B$14+$J$4)+約款料金!$B$13,0)))</f>
        <v>13328</v>
      </c>
      <c r="K33" s="366">
        <f>IF(($A33+K$6)&gt;約款料金!$C$9,ROUNDDOWN(($A33+K$6)*(約款料金!$D$14+$J$4)+約款料金!$D$13,0),IF(($A33+K$6)&gt;約款料金!$B$9,ROUNDDOWN(($A33+K$6)*(約款料金!$C$14+$J$4)+約款料金!$C$13,0),ROUNDDOWN(($A33+K$6)*(約款料金!$B$14+$J$4)+約款料金!$B$13,0)))</f>
        <v>13373</v>
      </c>
    </row>
    <row r="34" spans="1:11">
      <c r="A34" s="380">
        <v>27</v>
      </c>
      <c r="B34" s="365">
        <f>IF(($A34+B$6)&gt;約款料金!$C$9,ROUNDDOWN(($A34+B$6)*(約款料金!$D$14+$J$4)+約款料金!$D$13,0),IF(($A34+B$6)&gt;約款料金!$B$9,ROUNDDOWN(($A34+B$6)*(約款料金!$C$14+$J$4)+約款料金!$C$13,0),ROUNDDOWN(($A34+B$6)*(約款料金!$B$14+$J$4)+約款料金!$B$13,0)))</f>
        <v>13417</v>
      </c>
      <c r="C34" s="360">
        <f>IF(($A34+C$6)&gt;約款料金!$C$9,ROUNDDOWN(($A34+C$6)*(約款料金!$D$14+$J$4)+約款料金!$D$13,0),IF(($A34+C$6)&gt;約款料金!$B$9,ROUNDDOWN(($A34+C$6)*(約款料金!$C$14+$J$4)+約款料金!$C$13,0),ROUNDDOWN(($A34+C$6)*(約款料金!$B$14+$J$4)+約款料金!$B$13,0)))</f>
        <v>13462</v>
      </c>
      <c r="D34" s="360">
        <f>IF(($A34+D$6)&gt;約款料金!$C$9,ROUNDDOWN(($A34+D$6)*(約款料金!$D$14+$J$4)+約款料金!$D$13,0),IF(($A34+D$6)&gt;約款料金!$B$9,ROUNDDOWN(($A34+D$6)*(約款料金!$C$14+$J$4)+約款料金!$C$13,0),ROUNDDOWN(($A34+D$6)*(約款料金!$B$14+$J$4)+約款料金!$B$13,0)))</f>
        <v>13507</v>
      </c>
      <c r="E34" s="360">
        <f>IF(($A34+E$6)&gt;約款料金!$C$9,ROUNDDOWN(($A34+E$6)*(約款料金!$D$14+$J$4)+約款料金!$D$13,0),IF(($A34+E$6)&gt;約款料金!$B$9,ROUNDDOWN(($A34+E$6)*(約款料金!$C$14+$J$4)+約款料金!$C$13,0),ROUNDDOWN(($A34+E$6)*(約款料金!$B$14+$J$4)+約款料金!$B$13,0)))</f>
        <v>13552</v>
      </c>
      <c r="F34" s="360">
        <f>IF(($A34+F$6)&gt;約款料金!$C$9,ROUNDDOWN(($A34+F$6)*(約款料金!$D$14+$J$4)+約款料金!$D$13,0),IF(($A34+F$6)&gt;約款料金!$B$9,ROUNDDOWN(($A34+F$6)*(約款料金!$C$14+$J$4)+約款料金!$C$13,0),ROUNDDOWN(($A34+F$6)*(約款料金!$B$14+$J$4)+約款料金!$B$13,0)))</f>
        <v>13597</v>
      </c>
      <c r="G34" s="360">
        <f>IF(($A34+G$6)&gt;約款料金!$C$9,ROUNDDOWN(($A34+G$6)*(約款料金!$D$14+$J$4)+約款料金!$D$13,0),IF(($A34+G$6)&gt;約款料金!$B$9,ROUNDDOWN(($A34+G$6)*(約款料金!$C$14+$J$4)+約款料金!$C$13,0),ROUNDDOWN(($A34+G$6)*(約款料金!$B$14+$J$4)+約款料金!$B$13,0)))</f>
        <v>13641</v>
      </c>
      <c r="H34" s="360">
        <f>IF(($A34+H$6)&gt;約款料金!$C$9,ROUNDDOWN(($A34+H$6)*(約款料金!$D$14+$J$4)+約款料金!$D$13,0),IF(($A34+H$6)&gt;約款料金!$B$9,ROUNDDOWN(($A34+H$6)*(約款料金!$C$14+$J$4)+約款料金!$C$13,0),ROUNDDOWN(($A34+H$6)*(約款料金!$B$14+$J$4)+約款料金!$B$13,0)))</f>
        <v>13686</v>
      </c>
      <c r="I34" s="360">
        <f>IF(($A34+I$6)&gt;約款料金!$C$9,ROUNDDOWN(($A34+I$6)*(約款料金!$D$14+$J$4)+約款料金!$D$13,0),IF(($A34+I$6)&gt;約款料金!$B$9,ROUNDDOWN(($A34+I$6)*(約款料金!$C$14+$J$4)+約款料金!$C$13,0),ROUNDDOWN(($A34+I$6)*(約款料金!$B$14+$J$4)+約款料金!$B$13,0)))</f>
        <v>13731</v>
      </c>
      <c r="J34" s="360">
        <f>IF(($A34+J$6)&gt;約款料金!$C$9,ROUNDDOWN(($A34+J$6)*(約款料金!$D$14+$J$4)+約款料金!$D$13,0),IF(($A34+J$6)&gt;約款料金!$B$9,ROUNDDOWN(($A34+J$6)*(約款料金!$C$14+$J$4)+約款料金!$C$13,0),ROUNDDOWN(($A34+J$6)*(約款料金!$B$14+$J$4)+約款料金!$B$13,0)))</f>
        <v>13776</v>
      </c>
      <c r="K34" s="366">
        <f>IF(($A34+K$6)&gt;約款料金!$C$9,ROUNDDOWN(($A34+K$6)*(約款料金!$D$14+$J$4)+約款料金!$D$13,0),IF(($A34+K$6)&gt;約款料金!$B$9,ROUNDDOWN(($A34+K$6)*(約款料金!$C$14+$J$4)+約款料金!$C$13,0),ROUNDDOWN(($A34+K$6)*(約款料金!$B$14+$J$4)+約款料金!$B$13,0)))</f>
        <v>13821</v>
      </c>
    </row>
    <row r="35" spans="1:11">
      <c r="A35" s="380">
        <v>28</v>
      </c>
      <c r="B35" s="365">
        <f>IF(($A35+B$6)&gt;約款料金!$C$9,ROUNDDOWN(($A35+B$6)*(約款料金!$D$14+$J$4)+約款料金!$D$13,0),IF(($A35+B$6)&gt;約款料金!$B$9,ROUNDDOWN(($A35+B$6)*(約款料金!$C$14+$J$4)+約款料金!$C$13,0),ROUNDDOWN(($A35+B$6)*(約款料金!$B$14+$J$4)+約款料金!$B$13,0)))</f>
        <v>13866</v>
      </c>
      <c r="C35" s="360">
        <f>IF(($A35+C$6)&gt;約款料金!$C$9,ROUNDDOWN(($A35+C$6)*(約款料金!$D$14+$J$4)+約款料金!$D$13,0),IF(($A35+C$6)&gt;約款料金!$B$9,ROUNDDOWN(($A35+C$6)*(約款料金!$C$14+$J$4)+約款料金!$C$13,0),ROUNDDOWN(($A35+C$6)*(約款料金!$B$14+$J$4)+約款料金!$B$13,0)))</f>
        <v>13910</v>
      </c>
      <c r="D35" s="360">
        <f>IF(($A35+D$6)&gt;約款料金!$C$9,ROUNDDOWN(($A35+D$6)*(約款料金!$D$14+$J$4)+約款料金!$D$13,0),IF(($A35+D$6)&gt;約款料金!$B$9,ROUNDDOWN(($A35+D$6)*(約款料金!$C$14+$J$4)+約款料金!$C$13,0),ROUNDDOWN(($A35+D$6)*(約款料金!$B$14+$J$4)+約款料金!$B$13,0)))</f>
        <v>13955</v>
      </c>
      <c r="E35" s="360">
        <f>IF(($A35+E$6)&gt;約款料金!$C$9,ROUNDDOWN(($A35+E$6)*(約款料金!$D$14+$J$4)+約款料金!$D$13,0),IF(($A35+E$6)&gt;約款料金!$B$9,ROUNDDOWN(($A35+E$6)*(約款料金!$C$14+$J$4)+約款料金!$C$13,0),ROUNDDOWN(($A35+E$6)*(約款料金!$B$14+$J$4)+約款料金!$B$13,0)))</f>
        <v>14000</v>
      </c>
      <c r="F35" s="360">
        <f>IF(($A35+F$6)&gt;約款料金!$C$9,ROUNDDOWN(($A35+F$6)*(約款料金!$D$14+$J$4)+約款料金!$D$13,0),IF(($A35+F$6)&gt;約款料金!$B$9,ROUNDDOWN(($A35+F$6)*(約款料金!$C$14+$J$4)+約款料金!$C$13,0),ROUNDDOWN(($A35+F$6)*(約款料金!$B$14+$J$4)+約款料金!$B$13,0)))</f>
        <v>14045</v>
      </c>
      <c r="G35" s="360">
        <f>IF(($A35+G$6)&gt;約款料金!$C$9,ROUNDDOWN(($A35+G$6)*(約款料金!$D$14+$J$4)+約款料金!$D$13,0),IF(($A35+G$6)&gt;約款料金!$B$9,ROUNDDOWN(($A35+G$6)*(約款料金!$C$14+$J$4)+約款料金!$C$13,0),ROUNDDOWN(($A35+G$6)*(約款料金!$B$14+$J$4)+約款料金!$B$13,0)))</f>
        <v>14090</v>
      </c>
      <c r="H35" s="360">
        <f>IF(($A35+H$6)&gt;約款料金!$C$9,ROUNDDOWN(($A35+H$6)*(約款料金!$D$14+$J$4)+約款料金!$D$13,0),IF(($A35+H$6)&gt;約款料金!$B$9,ROUNDDOWN(($A35+H$6)*(約款料金!$C$14+$J$4)+約款料金!$C$13,0),ROUNDDOWN(($A35+H$6)*(約款料金!$B$14+$J$4)+約款料金!$B$13,0)))</f>
        <v>14134</v>
      </c>
      <c r="I35" s="360">
        <f>IF(($A35+I$6)&gt;約款料金!$C$9,ROUNDDOWN(($A35+I$6)*(約款料金!$D$14+$J$4)+約款料金!$D$13,0),IF(($A35+I$6)&gt;約款料金!$B$9,ROUNDDOWN(($A35+I$6)*(約款料金!$C$14+$J$4)+約款料金!$C$13,0),ROUNDDOWN(($A35+I$6)*(約款料金!$B$14+$J$4)+約款料金!$B$13,0)))</f>
        <v>14179</v>
      </c>
      <c r="J35" s="360">
        <f>IF(($A35+J$6)&gt;約款料金!$C$9,ROUNDDOWN(($A35+J$6)*(約款料金!$D$14+$J$4)+約款料金!$D$13,0),IF(($A35+J$6)&gt;約款料金!$B$9,ROUNDDOWN(($A35+J$6)*(約款料金!$C$14+$J$4)+約款料金!$C$13,0),ROUNDDOWN(($A35+J$6)*(約款料金!$B$14+$J$4)+約款料金!$B$13,0)))</f>
        <v>14224</v>
      </c>
      <c r="K35" s="366">
        <f>IF(($A35+K$6)&gt;約款料金!$C$9,ROUNDDOWN(($A35+K$6)*(約款料金!$D$14+$J$4)+約款料金!$D$13,0),IF(($A35+K$6)&gt;約款料金!$B$9,ROUNDDOWN(($A35+K$6)*(約款料金!$C$14+$J$4)+約款料金!$C$13,0),ROUNDDOWN(($A35+K$6)*(約款料金!$B$14+$J$4)+約款料金!$B$13,0)))</f>
        <v>14269</v>
      </c>
    </row>
    <row r="36" spans="1:11">
      <c r="A36" s="380">
        <v>29</v>
      </c>
      <c r="B36" s="365">
        <f>IF(($A36+B$6)&gt;約款料金!$C$9,ROUNDDOWN(($A36+B$6)*(約款料金!$D$14+$J$4)+約款料金!$D$13,0),IF(($A36+B$6)&gt;約款料金!$B$9,ROUNDDOWN(($A36+B$6)*(約款料金!$C$14+$J$4)+約款料金!$C$13,0),ROUNDDOWN(($A36+B$6)*(約款料金!$B$14+$J$4)+約款料金!$B$13,0)))</f>
        <v>14314</v>
      </c>
      <c r="C36" s="360">
        <f>IF(($A36+C$6)&gt;約款料金!$C$9,ROUNDDOWN(($A36+C$6)*(約款料金!$D$14+$J$4)+約款料金!$D$13,0),IF(($A36+C$6)&gt;約款料金!$B$9,ROUNDDOWN(($A36+C$6)*(約款料金!$C$14+$J$4)+約款料金!$C$13,0),ROUNDDOWN(($A36+C$6)*(約款料金!$B$14+$J$4)+約款料金!$B$13,0)))</f>
        <v>14358</v>
      </c>
      <c r="D36" s="360">
        <f>IF(($A36+D$6)&gt;約款料金!$C$9,ROUNDDOWN(($A36+D$6)*(約款料金!$D$14+$J$4)+約款料金!$D$13,0),IF(($A36+D$6)&gt;約款料金!$B$9,ROUNDDOWN(($A36+D$6)*(約款料金!$C$14+$J$4)+約款料金!$C$13,0),ROUNDDOWN(($A36+D$6)*(約款料金!$B$14+$J$4)+約款料金!$B$13,0)))</f>
        <v>14403</v>
      </c>
      <c r="E36" s="360">
        <f>IF(($A36+E$6)&gt;約款料金!$C$9,ROUNDDOWN(($A36+E$6)*(約款料金!$D$14+$J$4)+約款料金!$D$13,0),IF(($A36+E$6)&gt;約款料金!$B$9,ROUNDDOWN(($A36+E$6)*(約款料金!$C$14+$J$4)+約款料金!$C$13,0),ROUNDDOWN(($A36+E$6)*(約款料金!$B$14+$J$4)+約款料金!$B$13,0)))</f>
        <v>14448</v>
      </c>
      <c r="F36" s="360">
        <f>IF(($A36+F$6)&gt;約款料金!$C$9,ROUNDDOWN(($A36+F$6)*(約款料金!$D$14+$J$4)+約款料金!$D$13,0),IF(($A36+F$6)&gt;約款料金!$B$9,ROUNDDOWN(($A36+F$6)*(約款料金!$C$14+$J$4)+約款料金!$C$13,0),ROUNDDOWN(($A36+F$6)*(約款料金!$B$14+$J$4)+約款料金!$B$13,0)))</f>
        <v>14493</v>
      </c>
      <c r="G36" s="360">
        <f>IF(($A36+G$6)&gt;約款料金!$C$9,ROUNDDOWN(($A36+G$6)*(約款料金!$D$14+$J$4)+約款料金!$D$13,0),IF(($A36+G$6)&gt;約款料金!$B$9,ROUNDDOWN(($A36+G$6)*(約款料金!$C$14+$J$4)+約款料金!$C$13,0),ROUNDDOWN(($A36+G$6)*(約款料金!$B$14+$J$4)+約款料金!$B$13,0)))</f>
        <v>14538</v>
      </c>
      <c r="H36" s="360">
        <f>IF(($A36+H$6)&gt;約款料金!$C$9,ROUNDDOWN(($A36+H$6)*(約款料金!$D$14+$J$4)+約款料金!$D$13,0),IF(($A36+H$6)&gt;約款料金!$B$9,ROUNDDOWN(($A36+H$6)*(約款料金!$C$14+$J$4)+約款料金!$C$13,0),ROUNDDOWN(($A36+H$6)*(約款料金!$B$14+$J$4)+約款料金!$B$13,0)))</f>
        <v>14582</v>
      </c>
      <c r="I36" s="360">
        <f>IF(($A36+I$6)&gt;約款料金!$C$9,ROUNDDOWN(($A36+I$6)*(約款料金!$D$14+$J$4)+約款料金!$D$13,0),IF(($A36+I$6)&gt;約款料金!$B$9,ROUNDDOWN(($A36+I$6)*(約款料金!$C$14+$J$4)+約款料金!$C$13,0),ROUNDDOWN(($A36+I$6)*(約款料金!$B$14+$J$4)+約款料金!$B$13,0)))</f>
        <v>14627</v>
      </c>
      <c r="J36" s="360">
        <f>IF(($A36+J$6)&gt;約款料金!$C$9,ROUNDDOWN(($A36+J$6)*(約款料金!$D$14+$J$4)+約款料金!$D$13,0),IF(($A36+J$6)&gt;約款料金!$B$9,ROUNDDOWN(($A36+J$6)*(約款料金!$C$14+$J$4)+約款料金!$C$13,0),ROUNDDOWN(($A36+J$6)*(約款料金!$B$14+$J$4)+約款料金!$B$13,0)))</f>
        <v>14672</v>
      </c>
      <c r="K36" s="366">
        <f>IF(($A36+K$6)&gt;約款料金!$C$9,ROUNDDOWN(($A36+K$6)*(約款料金!$D$14+$J$4)+約款料金!$D$13,0),IF(($A36+K$6)&gt;約款料金!$B$9,ROUNDDOWN(($A36+K$6)*(約款料金!$C$14+$J$4)+約款料金!$C$13,0),ROUNDDOWN(($A36+K$6)*(約款料金!$B$14+$J$4)+約款料金!$B$13,0)))</f>
        <v>14717</v>
      </c>
    </row>
    <row r="37" spans="1:11">
      <c r="A37" s="382">
        <v>30</v>
      </c>
      <c r="B37" s="371">
        <f>IF(($A37+B$6)&gt;約款料金!$C$9,ROUNDDOWN(($A37+B$6)*(約款料金!$D$14+$J$4)+約款料金!$D$13,0),IF(($A37+B$6)&gt;約款料金!$B$9,ROUNDDOWN(($A37+B$6)*(約款料金!$C$14+$J$4)+約款料金!$C$13,0),ROUNDDOWN(($A37+B$6)*(約款料金!$B$14+$J$4)+約款料金!$B$13,0)))</f>
        <v>14762</v>
      </c>
      <c r="C37" s="372">
        <f>IF(($A37+C$6)&gt;約款料金!$C$9,ROUNDDOWN(($A37+C$6)*(約款料金!$D$14+$J$4)+約款料金!$D$13,0),IF(($A37+C$6)&gt;約款料金!$B$9,ROUNDDOWN(($A37+C$6)*(約款料金!$C$14+$J$4)+約款料金!$C$13,0),ROUNDDOWN(($A37+C$6)*(約款料金!$B$14+$J$4)+約款料金!$B$13,0)))</f>
        <v>14803</v>
      </c>
      <c r="D37" s="372">
        <f>IF(($A37+D$6)&gt;約款料金!$C$9,ROUNDDOWN(($A37+D$6)*(約款料金!$D$14+$J$4)+約款料金!$D$13,0),IF(($A37+D$6)&gt;約款料金!$B$9,ROUNDDOWN(($A37+D$6)*(約款料金!$C$14+$J$4)+約款料金!$C$13,0),ROUNDDOWN(($A37+D$6)*(約款料金!$B$14+$J$4)+約款料金!$B$13,0)))</f>
        <v>14843</v>
      </c>
      <c r="E37" s="372">
        <f>IF(($A37+E$6)&gt;約款料金!$C$9,ROUNDDOWN(($A37+E$6)*(約款料金!$D$14+$J$4)+約款料金!$D$13,0),IF(($A37+E$6)&gt;約款料金!$B$9,ROUNDDOWN(($A37+E$6)*(約款料金!$C$14+$J$4)+約款料金!$C$13,0),ROUNDDOWN(($A37+E$6)*(約款料金!$B$14+$J$4)+約款料金!$B$13,0)))</f>
        <v>14884</v>
      </c>
      <c r="F37" s="372">
        <f>IF(($A37+F$6)&gt;約款料金!$C$9,ROUNDDOWN(($A37+F$6)*(約款料金!$D$14+$J$4)+約款料金!$D$13,0),IF(($A37+F$6)&gt;約款料金!$B$9,ROUNDDOWN(($A37+F$6)*(約款料金!$C$14+$J$4)+約款料金!$C$13,0),ROUNDDOWN(($A37+F$6)*(約款料金!$B$14+$J$4)+約款料金!$B$13,0)))</f>
        <v>14925</v>
      </c>
      <c r="G37" s="372">
        <f>IF(($A37+G$6)&gt;約款料金!$C$9,ROUNDDOWN(($A37+G$6)*(約款料金!$D$14+$J$4)+約款料金!$D$13,0),IF(($A37+G$6)&gt;約款料金!$B$9,ROUNDDOWN(($A37+G$6)*(約款料金!$C$14+$J$4)+約款料金!$C$13,0),ROUNDDOWN(($A37+G$6)*(約款料金!$B$14+$J$4)+約款料金!$B$13,0)))</f>
        <v>14966</v>
      </c>
      <c r="H37" s="372">
        <f>IF(($A37+H$6)&gt;約款料金!$C$9,ROUNDDOWN(($A37+H$6)*(約款料金!$D$14+$J$4)+約款料金!$D$13,0),IF(($A37+H$6)&gt;約款料金!$B$9,ROUNDDOWN(($A37+H$6)*(約款料金!$C$14+$J$4)+約款料金!$C$13,0),ROUNDDOWN(($A37+H$6)*(約款料金!$B$14+$J$4)+約款料金!$B$13,0)))</f>
        <v>15007</v>
      </c>
      <c r="I37" s="372">
        <f>IF(($A37+I$6)&gt;約款料金!$C$9,ROUNDDOWN(($A37+I$6)*(約款料金!$D$14+$J$4)+約款料金!$D$13,0),IF(($A37+I$6)&gt;約款料金!$B$9,ROUNDDOWN(($A37+I$6)*(約款料金!$C$14+$J$4)+約款料金!$C$13,0),ROUNDDOWN(($A37+I$6)*(約款料金!$B$14+$J$4)+約款料金!$B$13,0)))</f>
        <v>15047</v>
      </c>
      <c r="J37" s="372">
        <f>IF(($A37+J$6)&gt;約款料金!$C$9,ROUNDDOWN(($A37+J$6)*(約款料金!$D$14+$J$4)+約款料金!$D$13,0),IF(($A37+J$6)&gt;約款料金!$B$9,ROUNDDOWN(($A37+J$6)*(約款料金!$C$14+$J$4)+約款料金!$C$13,0),ROUNDDOWN(($A37+J$6)*(約款料金!$B$14+$J$4)+約款料金!$B$13,0)))</f>
        <v>15088</v>
      </c>
      <c r="K37" s="373">
        <f>IF(($A37+K$6)&gt;約款料金!$C$9,ROUNDDOWN(($A37+K$6)*(約款料金!$D$14+$J$4)+約款料金!$D$13,0),IF(($A37+K$6)&gt;約款料金!$B$9,ROUNDDOWN(($A37+K$6)*(約款料金!$C$14+$J$4)+約款料金!$C$13,0),ROUNDDOWN(($A37+K$6)*(約款料金!$B$14+$J$4)+約款料金!$B$13,0)))</f>
        <v>15129</v>
      </c>
    </row>
    <row r="38" spans="1:11">
      <c r="A38" s="379">
        <v>31</v>
      </c>
      <c r="B38" s="365">
        <f>IF(($A38+B$6)&gt;約款料金!$C$9,ROUNDDOWN(($A38+B$6)*(約款料金!$D$14+$J$4)+約款料金!$D$13,0),IF(($A38+B$6)&gt;約款料金!$B$9,ROUNDDOWN(($A38+B$6)*(約款料金!$C$14+$J$4)+約款料金!$C$13,0),ROUNDDOWN(($A38+B$6)*(約款料金!$B$14+$J$4)+約款料金!$B$13,0)))</f>
        <v>15170</v>
      </c>
      <c r="C38" s="360">
        <f>IF(($A38+C$6)&gt;約款料金!$C$9,ROUNDDOWN(($A38+C$6)*(約款料金!$D$14+$J$4)+約款料金!$D$13,0),IF(($A38+C$6)&gt;約款料金!$B$9,ROUNDDOWN(($A38+C$6)*(約款料金!$C$14+$J$4)+約款料金!$C$13,0),ROUNDDOWN(($A38+C$6)*(約款料金!$B$14+$J$4)+約款料金!$B$13,0)))</f>
        <v>15211</v>
      </c>
      <c r="D38" s="360">
        <f>IF(($A38+D$6)&gt;約款料金!$C$9,ROUNDDOWN(($A38+D$6)*(約款料金!$D$14+$J$4)+約款料金!$D$13,0),IF(($A38+D$6)&gt;約款料金!$B$9,ROUNDDOWN(($A38+D$6)*(約款料金!$C$14+$J$4)+約款料金!$C$13,0),ROUNDDOWN(($A38+D$6)*(約款料金!$B$14+$J$4)+約款料金!$B$13,0)))</f>
        <v>15252</v>
      </c>
      <c r="E38" s="360">
        <f>IF(($A38+E$6)&gt;約款料金!$C$9,ROUNDDOWN(($A38+E$6)*(約款料金!$D$14+$J$4)+約款料金!$D$13,0),IF(($A38+E$6)&gt;約款料金!$B$9,ROUNDDOWN(($A38+E$6)*(約款料金!$C$14+$J$4)+約款料金!$C$13,0),ROUNDDOWN(($A38+E$6)*(約款料金!$B$14+$J$4)+約款料金!$B$13,0)))</f>
        <v>15292</v>
      </c>
      <c r="F38" s="360">
        <f>IF(($A38+F$6)&gt;約款料金!$C$9,ROUNDDOWN(($A38+F$6)*(約款料金!$D$14+$J$4)+約款料金!$D$13,0),IF(($A38+F$6)&gt;約款料金!$B$9,ROUNDDOWN(($A38+F$6)*(約款料金!$C$14+$J$4)+約款料金!$C$13,0),ROUNDDOWN(($A38+F$6)*(約款料金!$B$14+$J$4)+約款料金!$B$13,0)))</f>
        <v>15333</v>
      </c>
      <c r="G38" s="360">
        <f>IF(($A38+G$6)&gt;約款料金!$C$9,ROUNDDOWN(($A38+G$6)*(約款料金!$D$14+$J$4)+約款料金!$D$13,0),IF(($A38+G$6)&gt;約款料金!$B$9,ROUNDDOWN(($A38+G$6)*(約款料金!$C$14+$J$4)+約款料金!$C$13,0),ROUNDDOWN(($A38+G$6)*(約款料金!$B$14+$J$4)+約款料金!$B$13,0)))</f>
        <v>15374</v>
      </c>
      <c r="H38" s="360">
        <f>IF(($A38+H$6)&gt;約款料金!$C$9,ROUNDDOWN(($A38+H$6)*(約款料金!$D$14+$J$4)+約款料金!$D$13,0),IF(($A38+H$6)&gt;約款料金!$B$9,ROUNDDOWN(($A38+H$6)*(約款料金!$C$14+$J$4)+約款料金!$C$13,0),ROUNDDOWN(($A38+H$6)*(約款料金!$B$14+$J$4)+約款料金!$B$13,0)))</f>
        <v>15415</v>
      </c>
      <c r="I38" s="360">
        <f>IF(($A38+I$6)&gt;約款料金!$C$9,ROUNDDOWN(($A38+I$6)*(約款料金!$D$14+$J$4)+約款料金!$D$13,0),IF(($A38+I$6)&gt;約款料金!$B$9,ROUNDDOWN(($A38+I$6)*(約款料金!$C$14+$J$4)+約款料金!$C$13,0),ROUNDDOWN(($A38+I$6)*(約款料金!$B$14+$J$4)+約款料金!$B$13,0)))</f>
        <v>15456</v>
      </c>
      <c r="J38" s="360">
        <f>IF(($A38+J$6)&gt;約款料金!$C$9,ROUNDDOWN(($A38+J$6)*(約款料金!$D$14+$J$4)+約款料金!$D$13,0),IF(($A38+J$6)&gt;約款料金!$B$9,ROUNDDOWN(($A38+J$6)*(約款料金!$C$14+$J$4)+約款料金!$C$13,0),ROUNDDOWN(($A38+J$6)*(約款料金!$B$14+$J$4)+約款料金!$B$13,0)))</f>
        <v>15496</v>
      </c>
      <c r="K38" s="366">
        <f>IF(($A38+K$6)&gt;約款料金!$C$9,ROUNDDOWN(($A38+K$6)*(約款料金!$D$14+$J$4)+約款料金!$D$13,0),IF(($A38+K$6)&gt;約款料金!$B$9,ROUNDDOWN(($A38+K$6)*(約款料金!$C$14+$J$4)+約款料金!$C$13,0),ROUNDDOWN(($A38+K$6)*(約款料金!$B$14+$J$4)+約款料金!$B$13,0)))</f>
        <v>15537</v>
      </c>
    </row>
    <row r="39" spans="1:11">
      <c r="A39" s="380">
        <v>32</v>
      </c>
      <c r="B39" s="365">
        <f>IF(($A39+B$6)&gt;約款料金!$C$9,ROUNDDOWN(($A39+B$6)*(約款料金!$D$14+$J$4)+約款料金!$D$13,0),IF(($A39+B$6)&gt;約款料金!$B$9,ROUNDDOWN(($A39+B$6)*(約款料金!$C$14+$J$4)+約款料金!$C$13,0),ROUNDDOWN(($A39+B$6)*(約款料金!$B$14+$J$4)+約款料金!$B$13,0)))</f>
        <v>15578</v>
      </c>
      <c r="C39" s="360">
        <f>IF(($A39+C$6)&gt;約款料金!$C$9,ROUNDDOWN(($A39+C$6)*(約款料金!$D$14+$J$4)+約款料金!$D$13,0),IF(($A39+C$6)&gt;約款料金!$B$9,ROUNDDOWN(($A39+C$6)*(約款料金!$C$14+$J$4)+約款料金!$C$13,0),ROUNDDOWN(($A39+C$6)*(約款料金!$B$14+$J$4)+約款料金!$B$13,0)))</f>
        <v>15619</v>
      </c>
      <c r="D39" s="360">
        <f>IF(($A39+D$6)&gt;約款料金!$C$9,ROUNDDOWN(($A39+D$6)*(約款料金!$D$14+$J$4)+約款料金!$D$13,0),IF(($A39+D$6)&gt;約款料金!$B$9,ROUNDDOWN(($A39+D$6)*(約款料金!$C$14+$J$4)+約款料金!$C$13,0),ROUNDDOWN(($A39+D$6)*(約款料金!$B$14+$J$4)+約款料金!$B$13,0)))</f>
        <v>15660</v>
      </c>
      <c r="E39" s="360">
        <f>IF(($A39+E$6)&gt;約款料金!$C$9,ROUNDDOWN(($A39+E$6)*(約款料金!$D$14+$J$4)+約款料金!$D$13,0),IF(($A39+E$6)&gt;約款料金!$B$9,ROUNDDOWN(($A39+E$6)*(約款料金!$C$14+$J$4)+約款料金!$C$13,0),ROUNDDOWN(($A39+E$6)*(約款料金!$B$14+$J$4)+約款料金!$B$13,0)))</f>
        <v>15701</v>
      </c>
      <c r="F39" s="360">
        <f>IF(($A39+F$6)&gt;約款料金!$C$9,ROUNDDOWN(($A39+F$6)*(約款料金!$D$14+$J$4)+約款料金!$D$13,0),IF(($A39+F$6)&gt;約款料金!$B$9,ROUNDDOWN(($A39+F$6)*(約款料金!$C$14+$J$4)+約款料金!$C$13,0),ROUNDDOWN(($A39+F$6)*(約款料金!$B$14+$J$4)+約款料金!$B$13,0)))</f>
        <v>15741</v>
      </c>
      <c r="G39" s="360">
        <f>IF(($A39+G$6)&gt;約款料金!$C$9,ROUNDDOWN(($A39+G$6)*(約款料金!$D$14+$J$4)+約款料金!$D$13,0),IF(($A39+G$6)&gt;約款料金!$B$9,ROUNDDOWN(($A39+G$6)*(約款料金!$C$14+$J$4)+約款料金!$C$13,0),ROUNDDOWN(($A39+G$6)*(約款料金!$B$14+$J$4)+約款料金!$B$13,0)))</f>
        <v>15782</v>
      </c>
      <c r="H39" s="360">
        <f>IF(($A39+H$6)&gt;約款料金!$C$9,ROUNDDOWN(($A39+H$6)*(約款料金!$D$14+$J$4)+約款料金!$D$13,0),IF(($A39+H$6)&gt;約款料金!$B$9,ROUNDDOWN(($A39+H$6)*(約款料金!$C$14+$J$4)+約款料金!$C$13,0),ROUNDDOWN(($A39+H$6)*(約款料金!$B$14+$J$4)+約款料金!$B$13,0)))</f>
        <v>15823</v>
      </c>
      <c r="I39" s="360">
        <f>IF(($A39+I$6)&gt;約款料金!$C$9,ROUNDDOWN(($A39+I$6)*(約款料金!$D$14+$J$4)+約款料金!$D$13,0),IF(($A39+I$6)&gt;約款料金!$B$9,ROUNDDOWN(($A39+I$6)*(約款料金!$C$14+$J$4)+約款料金!$C$13,0),ROUNDDOWN(($A39+I$6)*(約款料金!$B$14+$J$4)+約款料金!$B$13,0)))</f>
        <v>15864</v>
      </c>
      <c r="J39" s="360">
        <f>IF(($A39+J$6)&gt;約款料金!$C$9,ROUNDDOWN(($A39+J$6)*(約款料金!$D$14+$J$4)+約款料金!$D$13,0),IF(($A39+J$6)&gt;約款料金!$B$9,ROUNDDOWN(($A39+J$6)*(約款料金!$C$14+$J$4)+約款料金!$C$13,0),ROUNDDOWN(($A39+J$6)*(約款料金!$B$14+$J$4)+約款料金!$B$13,0)))</f>
        <v>15905</v>
      </c>
      <c r="K39" s="366">
        <f>IF(($A39+K$6)&gt;約款料金!$C$9,ROUNDDOWN(($A39+K$6)*(約款料金!$D$14+$J$4)+約款料金!$D$13,0),IF(($A39+K$6)&gt;約款料金!$B$9,ROUNDDOWN(($A39+K$6)*(約款料金!$C$14+$J$4)+約款料金!$C$13,0),ROUNDDOWN(($A39+K$6)*(約款料金!$B$14+$J$4)+約款料金!$B$13,0)))</f>
        <v>15945</v>
      </c>
    </row>
    <row r="40" spans="1:11">
      <c r="A40" s="380">
        <v>33</v>
      </c>
      <c r="B40" s="365">
        <f>IF(($A40+B$6)&gt;約款料金!$C$9,ROUNDDOWN(($A40+B$6)*(約款料金!$D$14+$J$4)+約款料金!$D$13,0),IF(($A40+B$6)&gt;約款料金!$B$9,ROUNDDOWN(($A40+B$6)*(約款料金!$C$14+$J$4)+約款料金!$C$13,0),ROUNDDOWN(($A40+B$6)*(約款料金!$B$14+$J$4)+約款料金!$B$13,0)))</f>
        <v>15986</v>
      </c>
      <c r="C40" s="360">
        <f>IF(($A40+C$6)&gt;約款料金!$C$9,ROUNDDOWN(($A40+C$6)*(約款料金!$D$14+$J$4)+約款料金!$D$13,0),IF(($A40+C$6)&gt;約款料金!$B$9,ROUNDDOWN(($A40+C$6)*(約款料金!$C$14+$J$4)+約款料金!$C$13,0),ROUNDDOWN(($A40+C$6)*(約款料金!$B$14+$J$4)+約款料金!$B$13,0)))</f>
        <v>16027</v>
      </c>
      <c r="D40" s="360">
        <f>IF(($A40+D$6)&gt;約款料金!$C$9,ROUNDDOWN(($A40+D$6)*(約款料金!$D$14+$J$4)+約款料金!$D$13,0),IF(($A40+D$6)&gt;約款料金!$B$9,ROUNDDOWN(($A40+D$6)*(約款料金!$C$14+$J$4)+約款料金!$C$13,0),ROUNDDOWN(($A40+D$6)*(約款料金!$B$14+$J$4)+約款料金!$B$13,0)))</f>
        <v>16068</v>
      </c>
      <c r="E40" s="360">
        <f>IF(($A40+E$6)&gt;約款料金!$C$9,ROUNDDOWN(($A40+E$6)*(約款料金!$D$14+$J$4)+約款料金!$D$13,0),IF(($A40+E$6)&gt;約款料金!$B$9,ROUNDDOWN(($A40+E$6)*(約款料金!$C$14+$J$4)+約款料金!$C$13,0),ROUNDDOWN(($A40+E$6)*(約款料金!$B$14+$J$4)+約款料金!$B$13,0)))</f>
        <v>16109</v>
      </c>
      <c r="F40" s="360">
        <f>IF(($A40+F$6)&gt;約款料金!$C$9,ROUNDDOWN(($A40+F$6)*(約款料金!$D$14+$J$4)+約款料金!$D$13,0),IF(($A40+F$6)&gt;約款料金!$B$9,ROUNDDOWN(($A40+F$6)*(約款料金!$C$14+$J$4)+約款料金!$C$13,0),ROUNDDOWN(($A40+F$6)*(約款料金!$B$14+$J$4)+約款料金!$B$13,0)))</f>
        <v>16150</v>
      </c>
      <c r="G40" s="360">
        <f>IF(($A40+G$6)&gt;約款料金!$C$9,ROUNDDOWN(($A40+G$6)*(約款料金!$D$14+$J$4)+約款料金!$D$13,0),IF(($A40+G$6)&gt;約款料金!$B$9,ROUNDDOWN(($A40+G$6)*(約款料金!$C$14+$J$4)+約款料金!$C$13,0),ROUNDDOWN(($A40+G$6)*(約款料金!$B$14+$J$4)+約款料金!$B$13,0)))</f>
        <v>16190</v>
      </c>
      <c r="H40" s="360">
        <f>IF(($A40+H$6)&gt;約款料金!$C$9,ROUNDDOWN(($A40+H$6)*(約款料金!$D$14+$J$4)+約款料金!$D$13,0),IF(($A40+H$6)&gt;約款料金!$B$9,ROUNDDOWN(($A40+H$6)*(約款料金!$C$14+$J$4)+約款料金!$C$13,0),ROUNDDOWN(($A40+H$6)*(約款料金!$B$14+$J$4)+約款料金!$B$13,0)))</f>
        <v>16231</v>
      </c>
      <c r="I40" s="360">
        <f>IF(($A40+I$6)&gt;約款料金!$C$9,ROUNDDOWN(($A40+I$6)*(約款料金!$D$14+$J$4)+約款料金!$D$13,0),IF(($A40+I$6)&gt;約款料金!$B$9,ROUNDDOWN(($A40+I$6)*(約款料金!$C$14+$J$4)+約款料金!$C$13,0),ROUNDDOWN(($A40+I$6)*(約款料金!$B$14+$J$4)+約款料金!$B$13,0)))</f>
        <v>16272</v>
      </c>
      <c r="J40" s="360">
        <f>IF(($A40+J$6)&gt;約款料金!$C$9,ROUNDDOWN(($A40+J$6)*(約款料金!$D$14+$J$4)+約款料金!$D$13,0),IF(($A40+J$6)&gt;約款料金!$B$9,ROUNDDOWN(($A40+J$6)*(約款料金!$C$14+$J$4)+約款料金!$C$13,0),ROUNDDOWN(($A40+J$6)*(約款料金!$B$14+$J$4)+約款料金!$B$13,0)))</f>
        <v>16313</v>
      </c>
      <c r="K40" s="366">
        <f>IF(($A40+K$6)&gt;約款料金!$C$9,ROUNDDOWN(($A40+K$6)*(約款料金!$D$14+$J$4)+約款料金!$D$13,0),IF(($A40+K$6)&gt;約款料金!$B$9,ROUNDDOWN(($A40+K$6)*(約款料金!$C$14+$J$4)+約款料金!$C$13,0),ROUNDDOWN(($A40+K$6)*(約款料金!$B$14+$J$4)+約款料金!$B$13,0)))</f>
        <v>16354</v>
      </c>
    </row>
    <row r="41" spans="1:11">
      <c r="A41" s="380">
        <v>34</v>
      </c>
      <c r="B41" s="365">
        <f>IF(($A41+B$6)&gt;約款料金!$C$9,ROUNDDOWN(($A41+B$6)*(約款料金!$D$14+$J$4)+約款料金!$D$13,0),IF(($A41+B$6)&gt;約款料金!$B$9,ROUNDDOWN(($A41+B$6)*(約款料金!$C$14+$J$4)+約款料金!$C$13,0),ROUNDDOWN(($A41+B$6)*(約款料金!$B$14+$J$4)+約款料金!$B$13,0)))</f>
        <v>16395</v>
      </c>
      <c r="C41" s="360">
        <f>IF(($A41+C$6)&gt;約款料金!$C$9,ROUNDDOWN(($A41+C$6)*(約款料金!$D$14+$J$4)+約款料金!$D$13,0),IF(($A41+C$6)&gt;約款料金!$B$9,ROUNDDOWN(($A41+C$6)*(約款料金!$C$14+$J$4)+約款料金!$C$13,0),ROUNDDOWN(($A41+C$6)*(約款料金!$B$14+$J$4)+約款料金!$B$13,0)))</f>
        <v>16435</v>
      </c>
      <c r="D41" s="360">
        <f>IF(($A41+D$6)&gt;約款料金!$C$9,ROUNDDOWN(($A41+D$6)*(約款料金!$D$14+$J$4)+約款料金!$D$13,0),IF(($A41+D$6)&gt;約款料金!$B$9,ROUNDDOWN(($A41+D$6)*(約款料金!$C$14+$J$4)+約款料金!$C$13,0),ROUNDDOWN(($A41+D$6)*(約款料金!$B$14+$J$4)+約款料金!$B$13,0)))</f>
        <v>16476</v>
      </c>
      <c r="E41" s="360">
        <f>IF(($A41+E$6)&gt;約款料金!$C$9,ROUNDDOWN(($A41+E$6)*(約款料金!$D$14+$J$4)+約款料金!$D$13,0),IF(($A41+E$6)&gt;約款料金!$B$9,ROUNDDOWN(($A41+E$6)*(約款料金!$C$14+$J$4)+約款料金!$C$13,0),ROUNDDOWN(($A41+E$6)*(約款料金!$B$14+$J$4)+約款料金!$B$13,0)))</f>
        <v>16517</v>
      </c>
      <c r="F41" s="360">
        <f>IF(($A41+F$6)&gt;約款料金!$C$9,ROUNDDOWN(($A41+F$6)*(約款料金!$D$14+$J$4)+約款料金!$D$13,0),IF(($A41+F$6)&gt;約款料金!$B$9,ROUNDDOWN(($A41+F$6)*(約款料金!$C$14+$J$4)+約款料金!$C$13,0),ROUNDDOWN(($A41+F$6)*(約款料金!$B$14+$J$4)+約款料金!$B$13,0)))</f>
        <v>16558</v>
      </c>
      <c r="G41" s="360">
        <f>IF(($A41+G$6)&gt;約款料金!$C$9,ROUNDDOWN(($A41+G$6)*(約款料金!$D$14+$J$4)+約款料金!$D$13,0),IF(($A41+G$6)&gt;約款料金!$B$9,ROUNDDOWN(($A41+G$6)*(約款料金!$C$14+$J$4)+約款料金!$C$13,0),ROUNDDOWN(($A41+G$6)*(約款料金!$B$14+$J$4)+約款料金!$B$13,0)))</f>
        <v>16599</v>
      </c>
      <c r="H41" s="360">
        <f>IF(($A41+H$6)&gt;約款料金!$C$9,ROUNDDOWN(($A41+H$6)*(約款料金!$D$14+$J$4)+約款料金!$D$13,0),IF(($A41+H$6)&gt;約款料金!$B$9,ROUNDDOWN(($A41+H$6)*(約款料金!$C$14+$J$4)+約款料金!$C$13,0),ROUNDDOWN(($A41+H$6)*(約款料金!$B$14+$J$4)+約款料金!$B$13,0)))</f>
        <v>16639</v>
      </c>
      <c r="I41" s="360">
        <f>IF(($A41+I$6)&gt;約款料金!$C$9,ROUNDDOWN(($A41+I$6)*(約款料金!$D$14+$J$4)+約款料金!$D$13,0),IF(($A41+I$6)&gt;約款料金!$B$9,ROUNDDOWN(($A41+I$6)*(約款料金!$C$14+$J$4)+約款料金!$C$13,0),ROUNDDOWN(($A41+I$6)*(約款料金!$B$14+$J$4)+約款料金!$B$13,0)))</f>
        <v>16680</v>
      </c>
      <c r="J41" s="360">
        <f>IF(($A41+J$6)&gt;約款料金!$C$9,ROUNDDOWN(($A41+J$6)*(約款料金!$D$14+$J$4)+約款料金!$D$13,0),IF(($A41+J$6)&gt;約款料金!$B$9,ROUNDDOWN(($A41+J$6)*(約款料金!$C$14+$J$4)+約款料金!$C$13,0),ROUNDDOWN(($A41+J$6)*(約款料金!$B$14+$J$4)+約款料金!$B$13,0)))</f>
        <v>16721</v>
      </c>
      <c r="K41" s="366">
        <f>IF(($A41+K$6)&gt;約款料金!$C$9,ROUNDDOWN(($A41+K$6)*(約款料金!$D$14+$J$4)+約款料金!$D$13,0),IF(($A41+K$6)&gt;約款料金!$B$9,ROUNDDOWN(($A41+K$6)*(約款料金!$C$14+$J$4)+約款料金!$C$13,0),ROUNDDOWN(($A41+K$6)*(約款料金!$B$14+$J$4)+約款料金!$B$13,0)))</f>
        <v>16762</v>
      </c>
    </row>
    <row r="42" spans="1:11">
      <c r="A42" s="382">
        <v>35</v>
      </c>
      <c r="B42" s="371">
        <f>IF(($A42+B$6)&gt;約款料金!$C$9,ROUNDDOWN(($A42+B$6)*(約款料金!$D$14+$J$4)+約款料金!$D$13,0),IF(($A42+B$6)&gt;約款料金!$B$9,ROUNDDOWN(($A42+B$6)*(約款料金!$C$14+$J$4)+約款料金!$C$13,0),ROUNDDOWN(($A42+B$6)*(約款料金!$B$14+$J$4)+約款料金!$B$13,0)))</f>
        <v>16803</v>
      </c>
      <c r="C42" s="372">
        <f>IF(($A42+C$6)&gt;約款料金!$C$9,ROUNDDOWN(($A42+C$6)*(約款料金!$D$14+$J$4)+約款料金!$D$13,0),IF(($A42+C$6)&gt;約款料金!$B$9,ROUNDDOWN(($A42+C$6)*(約款料金!$C$14+$J$4)+約款料金!$C$13,0),ROUNDDOWN(($A42+C$6)*(約款料金!$B$14+$J$4)+約款料金!$B$13,0)))</f>
        <v>16844</v>
      </c>
      <c r="D42" s="372">
        <f>IF(($A42+D$6)&gt;約款料金!$C$9,ROUNDDOWN(($A42+D$6)*(約款料金!$D$14+$J$4)+約款料金!$D$13,0),IF(($A42+D$6)&gt;約款料金!$B$9,ROUNDDOWN(($A42+D$6)*(約款料金!$C$14+$J$4)+約款料金!$C$13,0),ROUNDDOWN(($A42+D$6)*(約款料金!$B$14+$J$4)+約款料金!$B$13,0)))</f>
        <v>16884</v>
      </c>
      <c r="E42" s="372">
        <f>IF(($A42+E$6)&gt;約款料金!$C$9,ROUNDDOWN(($A42+E$6)*(約款料金!$D$14+$J$4)+約款料金!$D$13,0),IF(($A42+E$6)&gt;約款料金!$B$9,ROUNDDOWN(($A42+E$6)*(約款料金!$C$14+$J$4)+約款料金!$C$13,0),ROUNDDOWN(($A42+E$6)*(約款料金!$B$14+$J$4)+約款料金!$B$13,0)))</f>
        <v>16925</v>
      </c>
      <c r="F42" s="372">
        <f>IF(($A42+F$6)&gt;約款料金!$C$9,ROUNDDOWN(($A42+F$6)*(約款料金!$D$14+$J$4)+約款料金!$D$13,0),IF(($A42+F$6)&gt;約款料金!$B$9,ROUNDDOWN(($A42+F$6)*(約款料金!$C$14+$J$4)+約款料金!$C$13,0),ROUNDDOWN(($A42+F$6)*(約款料金!$B$14+$J$4)+約款料金!$B$13,0)))</f>
        <v>16966</v>
      </c>
      <c r="G42" s="372">
        <f>IF(($A42+G$6)&gt;約款料金!$C$9,ROUNDDOWN(($A42+G$6)*(約款料金!$D$14+$J$4)+約款料金!$D$13,0),IF(($A42+G$6)&gt;約款料金!$B$9,ROUNDDOWN(($A42+G$6)*(約款料金!$C$14+$J$4)+約款料金!$C$13,0),ROUNDDOWN(($A42+G$6)*(約款料金!$B$14+$J$4)+約款料金!$B$13,0)))</f>
        <v>17007</v>
      </c>
      <c r="H42" s="372">
        <f>IF(($A42+H$6)&gt;約款料金!$C$9,ROUNDDOWN(($A42+H$6)*(約款料金!$D$14+$J$4)+約款料金!$D$13,0),IF(($A42+H$6)&gt;約款料金!$B$9,ROUNDDOWN(($A42+H$6)*(約款料金!$C$14+$J$4)+約款料金!$C$13,0),ROUNDDOWN(($A42+H$6)*(約款料金!$B$14+$J$4)+約款料金!$B$13,0)))</f>
        <v>17048</v>
      </c>
      <c r="I42" s="372">
        <f>IF(($A42+I$6)&gt;約款料金!$C$9,ROUNDDOWN(($A42+I$6)*(約款料金!$D$14+$J$4)+約款料金!$D$13,0),IF(($A42+I$6)&gt;約款料金!$B$9,ROUNDDOWN(($A42+I$6)*(約款料金!$C$14+$J$4)+約款料金!$C$13,0),ROUNDDOWN(($A42+I$6)*(約款料金!$B$14+$J$4)+約款料金!$B$13,0)))</f>
        <v>17088</v>
      </c>
      <c r="J42" s="372">
        <f>IF(($A42+J$6)&gt;約款料金!$C$9,ROUNDDOWN(($A42+J$6)*(約款料金!$D$14+$J$4)+約款料金!$D$13,0),IF(($A42+J$6)&gt;約款料金!$B$9,ROUNDDOWN(($A42+J$6)*(約款料金!$C$14+$J$4)+約款料金!$C$13,0),ROUNDDOWN(($A42+J$6)*(約款料金!$B$14+$J$4)+約款料金!$B$13,0)))</f>
        <v>17129</v>
      </c>
      <c r="K42" s="373">
        <f>IF(($A42+K$6)&gt;約款料金!$C$9,ROUNDDOWN(($A42+K$6)*(約款料金!$D$14+$J$4)+約款料金!$D$13,0),IF(($A42+K$6)&gt;約款料金!$B$9,ROUNDDOWN(($A42+K$6)*(約款料金!$C$14+$J$4)+約款料金!$C$13,0),ROUNDDOWN(($A42+K$6)*(約款料金!$B$14+$J$4)+約款料金!$B$13,0)))</f>
        <v>17170</v>
      </c>
    </row>
    <row r="43" spans="1:11">
      <c r="A43" s="379">
        <v>36</v>
      </c>
      <c r="B43" s="365">
        <f>IF(($A43+B$6)&gt;約款料金!$C$9,ROUNDDOWN(($A43+B$6)*(約款料金!$D$14+$J$4)+約款料金!$D$13,0),IF(($A43+B$6)&gt;約款料金!$B$9,ROUNDDOWN(($A43+B$6)*(約款料金!$C$14+$J$4)+約款料金!$C$13,0),ROUNDDOWN(($A43+B$6)*(約款料金!$B$14+$J$4)+約款料金!$B$13,0)))</f>
        <v>17211</v>
      </c>
      <c r="C43" s="360">
        <f>IF(($A43+C$6)&gt;約款料金!$C$9,ROUNDDOWN(($A43+C$6)*(約款料金!$D$14+$J$4)+約款料金!$D$13,0),IF(($A43+C$6)&gt;約款料金!$B$9,ROUNDDOWN(($A43+C$6)*(約款料金!$C$14+$J$4)+約款料金!$C$13,0),ROUNDDOWN(($A43+C$6)*(約款料金!$B$14+$J$4)+約款料金!$B$13,0)))</f>
        <v>17252</v>
      </c>
      <c r="D43" s="360">
        <f>IF(($A43+D$6)&gt;約款料金!$C$9,ROUNDDOWN(($A43+D$6)*(約款料金!$D$14+$J$4)+約款料金!$D$13,0),IF(($A43+D$6)&gt;約款料金!$B$9,ROUNDDOWN(($A43+D$6)*(約款料金!$C$14+$J$4)+約款料金!$C$13,0),ROUNDDOWN(($A43+D$6)*(約款料金!$B$14+$J$4)+約款料金!$B$13,0)))</f>
        <v>17293</v>
      </c>
      <c r="E43" s="360">
        <f>IF(($A43+E$6)&gt;約款料金!$C$9,ROUNDDOWN(($A43+E$6)*(約款料金!$D$14+$J$4)+約款料金!$D$13,0),IF(($A43+E$6)&gt;約款料金!$B$9,ROUNDDOWN(($A43+E$6)*(約款料金!$C$14+$J$4)+約款料金!$C$13,0),ROUNDDOWN(($A43+E$6)*(約款料金!$B$14+$J$4)+約款料金!$B$13,0)))</f>
        <v>17333</v>
      </c>
      <c r="F43" s="360">
        <f>IF(($A43+F$6)&gt;約款料金!$C$9,ROUNDDOWN(($A43+F$6)*(約款料金!$D$14+$J$4)+約款料金!$D$13,0),IF(($A43+F$6)&gt;約款料金!$B$9,ROUNDDOWN(($A43+F$6)*(約款料金!$C$14+$J$4)+約款料金!$C$13,0),ROUNDDOWN(($A43+F$6)*(約款料金!$B$14+$J$4)+約款料金!$B$13,0)))</f>
        <v>17374</v>
      </c>
      <c r="G43" s="360">
        <f>IF(($A43+G$6)&gt;約款料金!$C$9,ROUNDDOWN(($A43+G$6)*(約款料金!$D$14+$J$4)+約款料金!$D$13,0),IF(($A43+G$6)&gt;約款料金!$B$9,ROUNDDOWN(($A43+G$6)*(約款料金!$C$14+$J$4)+約款料金!$C$13,0),ROUNDDOWN(($A43+G$6)*(約款料金!$B$14+$J$4)+約款料金!$B$13,0)))</f>
        <v>17415</v>
      </c>
      <c r="H43" s="360">
        <f>IF(($A43+H$6)&gt;約款料金!$C$9,ROUNDDOWN(($A43+H$6)*(約款料金!$D$14+$J$4)+約款料金!$D$13,0),IF(($A43+H$6)&gt;約款料金!$B$9,ROUNDDOWN(($A43+H$6)*(約款料金!$C$14+$J$4)+約款料金!$C$13,0),ROUNDDOWN(($A43+H$6)*(約款料金!$B$14+$J$4)+約款料金!$B$13,0)))</f>
        <v>17456</v>
      </c>
      <c r="I43" s="360">
        <f>IF(($A43+I$6)&gt;約款料金!$C$9,ROUNDDOWN(($A43+I$6)*(約款料金!$D$14+$J$4)+約款料金!$D$13,0),IF(($A43+I$6)&gt;約款料金!$B$9,ROUNDDOWN(($A43+I$6)*(約款料金!$C$14+$J$4)+約款料金!$C$13,0),ROUNDDOWN(($A43+I$6)*(約款料金!$B$14+$J$4)+約款料金!$B$13,0)))</f>
        <v>17497</v>
      </c>
      <c r="J43" s="360">
        <f>IF(($A43+J$6)&gt;約款料金!$C$9,ROUNDDOWN(($A43+J$6)*(約款料金!$D$14+$J$4)+約款料金!$D$13,0),IF(($A43+J$6)&gt;約款料金!$B$9,ROUNDDOWN(($A43+J$6)*(約款料金!$C$14+$J$4)+約款料金!$C$13,0),ROUNDDOWN(($A43+J$6)*(約款料金!$B$14+$J$4)+約款料金!$B$13,0)))</f>
        <v>17537</v>
      </c>
      <c r="K43" s="366">
        <f>IF(($A43+K$6)&gt;約款料金!$C$9,ROUNDDOWN(($A43+K$6)*(約款料金!$D$14+$J$4)+約款料金!$D$13,0),IF(($A43+K$6)&gt;約款料金!$B$9,ROUNDDOWN(($A43+K$6)*(約款料金!$C$14+$J$4)+約款料金!$C$13,0),ROUNDDOWN(($A43+K$6)*(約款料金!$B$14+$J$4)+約款料金!$B$13,0)))</f>
        <v>17578</v>
      </c>
    </row>
    <row r="44" spans="1:11">
      <c r="A44" s="380">
        <v>37</v>
      </c>
      <c r="B44" s="365">
        <f>IF(($A44+B$6)&gt;約款料金!$C$9,ROUNDDOWN(($A44+B$6)*(約款料金!$D$14+$J$4)+約款料金!$D$13,0),IF(($A44+B$6)&gt;約款料金!$B$9,ROUNDDOWN(($A44+B$6)*(約款料金!$C$14+$J$4)+約款料金!$C$13,0),ROUNDDOWN(($A44+B$6)*(約款料金!$B$14+$J$4)+約款料金!$B$13,0)))</f>
        <v>17619</v>
      </c>
      <c r="C44" s="360">
        <f>IF(($A44+C$6)&gt;約款料金!$C$9,ROUNDDOWN(($A44+C$6)*(約款料金!$D$14+$J$4)+約款料金!$D$13,0),IF(($A44+C$6)&gt;約款料金!$B$9,ROUNDDOWN(($A44+C$6)*(約款料金!$C$14+$J$4)+約款料金!$C$13,0),ROUNDDOWN(($A44+C$6)*(約款料金!$B$14+$J$4)+約款料金!$B$13,0)))</f>
        <v>17660</v>
      </c>
      <c r="D44" s="360">
        <f>IF(($A44+D$6)&gt;約款料金!$C$9,ROUNDDOWN(($A44+D$6)*(約款料金!$D$14+$J$4)+約款料金!$D$13,0),IF(($A44+D$6)&gt;約款料金!$B$9,ROUNDDOWN(($A44+D$6)*(約款料金!$C$14+$J$4)+約款料金!$C$13,0),ROUNDDOWN(($A44+D$6)*(約款料金!$B$14+$J$4)+約款料金!$B$13,0)))</f>
        <v>17701</v>
      </c>
      <c r="E44" s="360">
        <f>IF(($A44+E$6)&gt;約款料金!$C$9,ROUNDDOWN(($A44+E$6)*(約款料金!$D$14+$J$4)+約款料金!$D$13,0),IF(($A44+E$6)&gt;約款料金!$B$9,ROUNDDOWN(($A44+E$6)*(約款料金!$C$14+$J$4)+約款料金!$C$13,0),ROUNDDOWN(($A44+E$6)*(約款料金!$B$14+$J$4)+約款料金!$B$13,0)))</f>
        <v>17742</v>
      </c>
      <c r="F44" s="360">
        <f>IF(($A44+F$6)&gt;約款料金!$C$9,ROUNDDOWN(($A44+F$6)*(約款料金!$D$14+$J$4)+約款料金!$D$13,0),IF(($A44+F$6)&gt;約款料金!$B$9,ROUNDDOWN(($A44+F$6)*(約款料金!$C$14+$J$4)+約款料金!$C$13,0),ROUNDDOWN(($A44+F$6)*(約款料金!$B$14+$J$4)+約款料金!$B$13,0)))</f>
        <v>17782</v>
      </c>
      <c r="G44" s="360">
        <f>IF(($A44+G$6)&gt;約款料金!$C$9,ROUNDDOWN(($A44+G$6)*(約款料金!$D$14+$J$4)+約款料金!$D$13,0),IF(($A44+G$6)&gt;約款料金!$B$9,ROUNDDOWN(($A44+G$6)*(約款料金!$C$14+$J$4)+約款料金!$C$13,0),ROUNDDOWN(($A44+G$6)*(約款料金!$B$14+$J$4)+約款料金!$B$13,0)))</f>
        <v>17823</v>
      </c>
      <c r="H44" s="360">
        <f>IF(($A44+H$6)&gt;約款料金!$C$9,ROUNDDOWN(($A44+H$6)*(約款料金!$D$14+$J$4)+約款料金!$D$13,0),IF(($A44+H$6)&gt;約款料金!$B$9,ROUNDDOWN(($A44+H$6)*(約款料金!$C$14+$J$4)+約款料金!$C$13,0),ROUNDDOWN(($A44+H$6)*(約款料金!$B$14+$J$4)+約款料金!$B$13,0)))</f>
        <v>17864</v>
      </c>
      <c r="I44" s="360">
        <f>IF(($A44+I$6)&gt;約款料金!$C$9,ROUNDDOWN(($A44+I$6)*(約款料金!$D$14+$J$4)+約款料金!$D$13,0),IF(($A44+I$6)&gt;約款料金!$B$9,ROUNDDOWN(($A44+I$6)*(約款料金!$C$14+$J$4)+約款料金!$C$13,0),ROUNDDOWN(($A44+I$6)*(約款料金!$B$14+$J$4)+約款料金!$B$13,0)))</f>
        <v>17905</v>
      </c>
      <c r="J44" s="360">
        <f>IF(($A44+J$6)&gt;約款料金!$C$9,ROUNDDOWN(($A44+J$6)*(約款料金!$D$14+$J$4)+約款料金!$D$13,0),IF(($A44+J$6)&gt;約款料金!$B$9,ROUNDDOWN(($A44+J$6)*(約款料金!$C$14+$J$4)+約款料金!$C$13,0),ROUNDDOWN(($A44+J$6)*(約款料金!$B$14+$J$4)+約款料金!$B$13,0)))</f>
        <v>17946</v>
      </c>
      <c r="K44" s="366">
        <f>IF(($A44+K$6)&gt;約款料金!$C$9,ROUNDDOWN(($A44+K$6)*(約款料金!$D$14+$J$4)+約款料金!$D$13,0),IF(($A44+K$6)&gt;約款料金!$B$9,ROUNDDOWN(($A44+K$6)*(約款料金!$C$14+$J$4)+約款料金!$C$13,0),ROUNDDOWN(($A44+K$6)*(約款料金!$B$14+$J$4)+約款料金!$B$13,0)))</f>
        <v>17986</v>
      </c>
    </row>
    <row r="45" spans="1:11">
      <c r="A45" s="380">
        <v>38</v>
      </c>
      <c r="B45" s="365">
        <f>IF(($A45+B$6)&gt;約款料金!$C$9,ROUNDDOWN(($A45+B$6)*(約款料金!$D$14+$J$4)+約款料金!$D$13,0),IF(($A45+B$6)&gt;約款料金!$B$9,ROUNDDOWN(($A45+B$6)*(約款料金!$C$14+$J$4)+約款料金!$C$13,0),ROUNDDOWN(($A45+B$6)*(約款料金!$B$14+$J$4)+約款料金!$B$13,0)))</f>
        <v>18027</v>
      </c>
      <c r="C45" s="360">
        <f>IF(($A45+C$6)&gt;約款料金!$C$9,ROUNDDOWN(($A45+C$6)*(約款料金!$D$14+$J$4)+約款料金!$D$13,0),IF(($A45+C$6)&gt;約款料金!$B$9,ROUNDDOWN(($A45+C$6)*(約款料金!$C$14+$J$4)+約款料金!$C$13,0),ROUNDDOWN(($A45+C$6)*(約款料金!$B$14+$J$4)+約款料金!$B$13,0)))</f>
        <v>18068</v>
      </c>
      <c r="D45" s="360">
        <f>IF(($A45+D$6)&gt;約款料金!$C$9,ROUNDDOWN(($A45+D$6)*(約款料金!$D$14+$J$4)+約款料金!$D$13,0),IF(($A45+D$6)&gt;約款料金!$B$9,ROUNDDOWN(($A45+D$6)*(約款料金!$C$14+$J$4)+約款料金!$C$13,0),ROUNDDOWN(($A45+D$6)*(約款料金!$B$14+$J$4)+約款料金!$B$13,0)))</f>
        <v>18109</v>
      </c>
      <c r="E45" s="360">
        <f>IF(($A45+E$6)&gt;約款料金!$C$9,ROUNDDOWN(($A45+E$6)*(約款料金!$D$14+$J$4)+約款料金!$D$13,0),IF(($A45+E$6)&gt;約款料金!$B$9,ROUNDDOWN(($A45+E$6)*(約款料金!$C$14+$J$4)+約款料金!$C$13,0),ROUNDDOWN(($A45+E$6)*(約款料金!$B$14+$J$4)+約款料金!$B$13,0)))</f>
        <v>18150</v>
      </c>
      <c r="F45" s="360">
        <f>IF(($A45+F$6)&gt;約款料金!$C$9,ROUNDDOWN(($A45+F$6)*(約款料金!$D$14+$J$4)+約款料金!$D$13,0),IF(($A45+F$6)&gt;約款料金!$B$9,ROUNDDOWN(($A45+F$6)*(約款料金!$C$14+$J$4)+約款料金!$C$13,0),ROUNDDOWN(($A45+F$6)*(約款料金!$B$14+$J$4)+約款料金!$B$13,0)))</f>
        <v>18191</v>
      </c>
      <c r="G45" s="360">
        <f>IF(($A45+G$6)&gt;約款料金!$C$9,ROUNDDOWN(($A45+G$6)*(約款料金!$D$14+$J$4)+約款料金!$D$13,0),IF(($A45+G$6)&gt;約款料金!$B$9,ROUNDDOWN(($A45+G$6)*(約款料金!$C$14+$J$4)+約款料金!$C$13,0),ROUNDDOWN(($A45+G$6)*(約款料金!$B$14+$J$4)+約款料金!$B$13,0)))</f>
        <v>18231</v>
      </c>
      <c r="H45" s="360">
        <f>IF(($A45+H$6)&gt;約款料金!$C$9,ROUNDDOWN(($A45+H$6)*(約款料金!$D$14+$J$4)+約款料金!$D$13,0),IF(($A45+H$6)&gt;約款料金!$B$9,ROUNDDOWN(($A45+H$6)*(約款料金!$C$14+$J$4)+約款料金!$C$13,0),ROUNDDOWN(($A45+H$6)*(約款料金!$B$14+$J$4)+約款料金!$B$13,0)))</f>
        <v>18272</v>
      </c>
      <c r="I45" s="360">
        <f>IF(($A45+I$6)&gt;約款料金!$C$9,ROUNDDOWN(($A45+I$6)*(約款料金!$D$14+$J$4)+約款料金!$D$13,0),IF(($A45+I$6)&gt;約款料金!$B$9,ROUNDDOWN(($A45+I$6)*(約款料金!$C$14+$J$4)+約款料金!$C$13,0),ROUNDDOWN(($A45+I$6)*(約款料金!$B$14+$J$4)+約款料金!$B$13,0)))</f>
        <v>18313</v>
      </c>
      <c r="J45" s="360">
        <f>IF(($A45+J$6)&gt;約款料金!$C$9,ROUNDDOWN(($A45+J$6)*(約款料金!$D$14+$J$4)+約款料金!$D$13,0),IF(($A45+J$6)&gt;約款料金!$B$9,ROUNDDOWN(($A45+J$6)*(約款料金!$C$14+$J$4)+約款料金!$C$13,0),ROUNDDOWN(($A45+J$6)*(約款料金!$B$14+$J$4)+約款料金!$B$13,0)))</f>
        <v>18354</v>
      </c>
      <c r="K45" s="366">
        <f>IF(($A45+K$6)&gt;約款料金!$C$9,ROUNDDOWN(($A45+K$6)*(約款料金!$D$14+$J$4)+約款料金!$D$13,0),IF(($A45+K$6)&gt;約款料金!$B$9,ROUNDDOWN(($A45+K$6)*(約款料金!$C$14+$J$4)+約款料金!$C$13,0),ROUNDDOWN(($A45+K$6)*(約款料金!$B$14+$J$4)+約款料金!$B$13,0)))</f>
        <v>18395</v>
      </c>
    </row>
    <row r="46" spans="1:11">
      <c r="A46" s="380">
        <v>39</v>
      </c>
      <c r="B46" s="365">
        <f>IF(($A46+B$6)&gt;約款料金!$C$9,ROUNDDOWN(($A46+B$6)*(約款料金!$D$14+$J$4)+約款料金!$D$13,0),IF(($A46+B$6)&gt;約款料金!$B$9,ROUNDDOWN(($A46+B$6)*(約款料金!$C$14+$J$4)+約款料金!$C$13,0),ROUNDDOWN(($A46+B$6)*(約款料金!$B$14+$J$4)+約款料金!$B$13,0)))</f>
        <v>18436</v>
      </c>
      <c r="C46" s="360">
        <f>IF(($A46+C$6)&gt;約款料金!$C$9,ROUNDDOWN(($A46+C$6)*(約款料金!$D$14+$J$4)+約款料金!$D$13,0),IF(($A46+C$6)&gt;約款料金!$B$9,ROUNDDOWN(($A46+C$6)*(約款料金!$C$14+$J$4)+約款料金!$C$13,0),ROUNDDOWN(($A46+C$6)*(約款料金!$B$14+$J$4)+約款料金!$B$13,0)))</f>
        <v>18476</v>
      </c>
      <c r="D46" s="360">
        <f>IF(($A46+D$6)&gt;約款料金!$C$9,ROUNDDOWN(($A46+D$6)*(約款料金!$D$14+$J$4)+約款料金!$D$13,0),IF(($A46+D$6)&gt;約款料金!$B$9,ROUNDDOWN(($A46+D$6)*(約款料金!$C$14+$J$4)+約款料金!$C$13,0),ROUNDDOWN(($A46+D$6)*(約款料金!$B$14+$J$4)+約款料金!$B$13,0)))</f>
        <v>18517</v>
      </c>
      <c r="E46" s="360">
        <f>IF(($A46+E$6)&gt;約款料金!$C$9,ROUNDDOWN(($A46+E$6)*(約款料金!$D$14+$J$4)+約款料金!$D$13,0),IF(($A46+E$6)&gt;約款料金!$B$9,ROUNDDOWN(($A46+E$6)*(約款料金!$C$14+$J$4)+約款料金!$C$13,0),ROUNDDOWN(($A46+E$6)*(約款料金!$B$14+$J$4)+約款料金!$B$13,0)))</f>
        <v>18558</v>
      </c>
      <c r="F46" s="360">
        <f>IF(($A46+F$6)&gt;約款料金!$C$9,ROUNDDOWN(($A46+F$6)*(約款料金!$D$14+$J$4)+約款料金!$D$13,0),IF(($A46+F$6)&gt;約款料金!$B$9,ROUNDDOWN(($A46+F$6)*(約款料金!$C$14+$J$4)+約款料金!$C$13,0),ROUNDDOWN(($A46+F$6)*(約款料金!$B$14+$J$4)+約款料金!$B$13,0)))</f>
        <v>18599</v>
      </c>
      <c r="G46" s="360">
        <f>IF(($A46+G$6)&gt;約款料金!$C$9,ROUNDDOWN(($A46+G$6)*(約款料金!$D$14+$J$4)+約款料金!$D$13,0),IF(($A46+G$6)&gt;約款料金!$B$9,ROUNDDOWN(($A46+G$6)*(約款料金!$C$14+$J$4)+約款料金!$C$13,0),ROUNDDOWN(($A46+G$6)*(約款料金!$B$14+$J$4)+約款料金!$B$13,0)))</f>
        <v>18640</v>
      </c>
      <c r="H46" s="360">
        <f>IF(($A46+H$6)&gt;約款料金!$C$9,ROUNDDOWN(($A46+H$6)*(約款料金!$D$14+$J$4)+約款料金!$D$13,0),IF(($A46+H$6)&gt;約款料金!$B$9,ROUNDDOWN(($A46+H$6)*(約款料金!$C$14+$J$4)+約款料金!$C$13,0),ROUNDDOWN(($A46+H$6)*(約款料金!$B$14+$J$4)+約款料金!$B$13,0)))</f>
        <v>18680</v>
      </c>
      <c r="I46" s="360">
        <f>IF(($A46+I$6)&gt;約款料金!$C$9,ROUNDDOWN(($A46+I$6)*(約款料金!$D$14+$J$4)+約款料金!$D$13,0),IF(($A46+I$6)&gt;約款料金!$B$9,ROUNDDOWN(($A46+I$6)*(約款料金!$C$14+$J$4)+約款料金!$C$13,0),ROUNDDOWN(($A46+I$6)*(約款料金!$B$14+$J$4)+約款料金!$B$13,0)))</f>
        <v>18721</v>
      </c>
      <c r="J46" s="360">
        <f>IF(($A46+J$6)&gt;約款料金!$C$9,ROUNDDOWN(($A46+J$6)*(約款料金!$D$14+$J$4)+約款料金!$D$13,0),IF(($A46+J$6)&gt;約款料金!$B$9,ROUNDDOWN(($A46+J$6)*(約款料金!$C$14+$J$4)+約款料金!$C$13,0),ROUNDDOWN(($A46+J$6)*(約款料金!$B$14+$J$4)+約款料金!$B$13,0)))</f>
        <v>18762</v>
      </c>
      <c r="K46" s="366">
        <f>IF(($A46+K$6)&gt;約款料金!$C$9,ROUNDDOWN(($A46+K$6)*(約款料金!$D$14+$J$4)+約款料金!$D$13,0),IF(($A46+K$6)&gt;約款料金!$B$9,ROUNDDOWN(($A46+K$6)*(約款料金!$C$14+$J$4)+約款料金!$C$13,0),ROUNDDOWN(($A46+K$6)*(約款料金!$B$14+$J$4)+約款料金!$B$13,0)))</f>
        <v>18803</v>
      </c>
    </row>
    <row r="47" spans="1:11">
      <c r="A47" s="382">
        <v>40</v>
      </c>
      <c r="B47" s="371">
        <f>IF(($A47+B$6)&gt;約款料金!$C$9,ROUNDDOWN(($A47+B$6)*(約款料金!$D$14+$J$4)+約款料金!$D$13,0),IF(($A47+B$6)&gt;約款料金!$B$9,ROUNDDOWN(($A47+B$6)*(約款料金!$C$14+$J$4)+約款料金!$C$13,0),ROUNDDOWN(($A47+B$6)*(約款料金!$B$14+$J$4)+約款料金!$B$13,0)))</f>
        <v>18844</v>
      </c>
      <c r="C47" s="372">
        <f>IF(($A47+C$6)&gt;約款料金!$C$9,ROUNDDOWN(($A47+C$6)*(約款料金!$D$14+$J$4)+約款料金!$D$13,0),IF(($A47+C$6)&gt;約款料金!$B$9,ROUNDDOWN(($A47+C$6)*(約款料金!$C$14+$J$4)+約款料金!$C$13,0),ROUNDDOWN(($A47+C$6)*(約款料金!$B$14+$J$4)+約款料金!$B$13,0)))</f>
        <v>18885</v>
      </c>
      <c r="D47" s="372">
        <f>IF(($A47+D$6)&gt;約款料金!$C$9,ROUNDDOWN(($A47+D$6)*(約款料金!$D$14+$J$4)+約款料金!$D$13,0),IF(($A47+D$6)&gt;約款料金!$B$9,ROUNDDOWN(($A47+D$6)*(約款料金!$C$14+$J$4)+約款料金!$C$13,0),ROUNDDOWN(($A47+D$6)*(約款料金!$B$14+$J$4)+約款料金!$B$13,0)))</f>
        <v>18925</v>
      </c>
      <c r="E47" s="372">
        <f>IF(($A47+E$6)&gt;約款料金!$C$9,ROUNDDOWN(($A47+E$6)*(約款料金!$D$14+$J$4)+約款料金!$D$13,0),IF(($A47+E$6)&gt;約款料金!$B$9,ROUNDDOWN(($A47+E$6)*(約款料金!$C$14+$J$4)+約款料金!$C$13,0),ROUNDDOWN(($A47+E$6)*(約款料金!$B$14+$J$4)+約款料金!$B$13,0)))</f>
        <v>18966</v>
      </c>
      <c r="F47" s="372">
        <f>IF(($A47+F$6)&gt;約款料金!$C$9,ROUNDDOWN(($A47+F$6)*(約款料金!$D$14+$J$4)+約款料金!$D$13,0),IF(($A47+F$6)&gt;約款料金!$B$9,ROUNDDOWN(($A47+F$6)*(約款料金!$C$14+$J$4)+約款料金!$C$13,0),ROUNDDOWN(($A47+F$6)*(約款料金!$B$14+$J$4)+約款料金!$B$13,0)))</f>
        <v>19007</v>
      </c>
      <c r="G47" s="372">
        <f>IF(($A47+G$6)&gt;約款料金!$C$9,ROUNDDOWN(($A47+G$6)*(約款料金!$D$14+$J$4)+約款料金!$D$13,0),IF(($A47+G$6)&gt;約款料金!$B$9,ROUNDDOWN(($A47+G$6)*(約款料金!$C$14+$J$4)+約款料金!$C$13,0),ROUNDDOWN(($A47+G$6)*(約款料金!$B$14+$J$4)+約款料金!$B$13,0)))</f>
        <v>19048</v>
      </c>
      <c r="H47" s="372">
        <f>IF(($A47+H$6)&gt;約款料金!$C$9,ROUNDDOWN(($A47+H$6)*(約款料金!$D$14+$J$4)+約款料金!$D$13,0),IF(($A47+H$6)&gt;約款料金!$B$9,ROUNDDOWN(($A47+H$6)*(約款料金!$C$14+$J$4)+約款料金!$C$13,0),ROUNDDOWN(($A47+H$6)*(約款料金!$B$14+$J$4)+約款料金!$B$13,0)))</f>
        <v>19089</v>
      </c>
      <c r="I47" s="372">
        <f>IF(($A47+I$6)&gt;約款料金!$C$9,ROUNDDOWN(($A47+I$6)*(約款料金!$D$14+$J$4)+約款料金!$D$13,0),IF(($A47+I$6)&gt;約款料金!$B$9,ROUNDDOWN(($A47+I$6)*(約款料金!$C$14+$J$4)+約款料金!$C$13,0),ROUNDDOWN(($A47+I$6)*(約款料金!$B$14+$J$4)+約款料金!$B$13,0)))</f>
        <v>19129</v>
      </c>
      <c r="J47" s="372">
        <f>IF(($A47+J$6)&gt;約款料金!$C$9,ROUNDDOWN(($A47+J$6)*(約款料金!$D$14+$J$4)+約款料金!$D$13,0),IF(($A47+J$6)&gt;約款料金!$B$9,ROUNDDOWN(($A47+J$6)*(約款料金!$C$14+$J$4)+約款料金!$C$13,0),ROUNDDOWN(($A47+J$6)*(約款料金!$B$14+$J$4)+約款料金!$B$13,0)))</f>
        <v>19170</v>
      </c>
      <c r="K47" s="373">
        <f>IF(($A47+K$6)&gt;約款料金!$C$9,ROUNDDOWN(($A47+K$6)*(約款料金!$D$14+$J$4)+約款料金!$D$13,0),IF(($A47+K$6)&gt;約款料金!$B$9,ROUNDDOWN(($A47+K$6)*(約款料金!$C$14+$J$4)+約款料金!$C$13,0),ROUNDDOWN(($A47+K$6)*(約款料金!$B$14+$J$4)+約款料金!$B$13,0)))</f>
        <v>19211</v>
      </c>
    </row>
    <row r="48" spans="1:11">
      <c r="A48" s="379">
        <v>41</v>
      </c>
      <c r="B48" s="365">
        <f>IF(($A48+B$6)&gt;約款料金!$C$9,ROUNDDOWN(($A48+B$6)*(約款料金!$D$14+$J$4)+約款料金!$D$13,0),IF(($A48+B$6)&gt;約款料金!$B$9,ROUNDDOWN(($A48+B$6)*(約款料金!$C$14+$J$4)+約款料金!$C$13,0),ROUNDDOWN(($A48+B$6)*(約款料金!$B$14+$J$4)+約款料金!$B$13,0)))</f>
        <v>19252</v>
      </c>
      <c r="C48" s="360">
        <f>IF(($A48+C$6)&gt;約款料金!$C$9,ROUNDDOWN(($A48+C$6)*(約款料金!$D$14+$J$4)+約款料金!$D$13,0),IF(($A48+C$6)&gt;約款料金!$B$9,ROUNDDOWN(($A48+C$6)*(約款料金!$C$14+$J$4)+約款料金!$C$13,0),ROUNDDOWN(($A48+C$6)*(約款料金!$B$14+$J$4)+約款料金!$B$13,0)))</f>
        <v>19293</v>
      </c>
      <c r="D48" s="360">
        <f>IF(($A48+D$6)&gt;約款料金!$C$9,ROUNDDOWN(($A48+D$6)*(約款料金!$D$14+$J$4)+約款料金!$D$13,0),IF(($A48+D$6)&gt;約款料金!$B$9,ROUNDDOWN(($A48+D$6)*(約款料金!$C$14+$J$4)+約款料金!$C$13,0),ROUNDDOWN(($A48+D$6)*(約款料金!$B$14+$J$4)+約款料金!$B$13,0)))</f>
        <v>19334</v>
      </c>
      <c r="E48" s="360">
        <f>IF(($A48+E$6)&gt;約款料金!$C$9,ROUNDDOWN(($A48+E$6)*(約款料金!$D$14+$J$4)+約款料金!$D$13,0),IF(($A48+E$6)&gt;約款料金!$B$9,ROUNDDOWN(($A48+E$6)*(約款料金!$C$14+$J$4)+約款料金!$C$13,0),ROUNDDOWN(($A48+E$6)*(約款料金!$B$14+$J$4)+約款料金!$B$13,0)))</f>
        <v>19374</v>
      </c>
      <c r="F48" s="360">
        <f>IF(($A48+F$6)&gt;約款料金!$C$9,ROUNDDOWN(($A48+F$6)*(約款料金!$D$14+$J$4)+約款料金!$D$13,0),IF(($A48+F$6)&gt;約款料金!$B$9,ROUNDDOWN(($A48+F$6)*(約款料金!$C$14+$J$4)+約款料金!$C$13,0),ROUNDDOWN(($A48+F$6)*(約款料金!$B$14+$J$4)+約款料金!$B$13,0)))</f>
        <v>19415</v>
      </c>
      <c r="G48" s="360">
        <f>IF(($A48+G$6)&gt;約款料金!$C$9,ROUNDDOWN(($A48+G$6)*(約款料金!$D$14+$J$4)+約款料金!$D$13,0),IF(($A48+G$6)&gt;約款料金!$B$9,ROUNDDOWN(($A48+G$6)*(約款料金!$C$14+$J$4)+約款料金!$C$13,0),ROUNDDOWN(($A48+G$6)*(約款料金!$B$14+$J$4)+約款料金!$B$13,0)))</f>
        <v>19456</v>
      </c>
      <c r="H48" s="360">
        <f>IF(($A48+H$6)&gt;約款料金!$C$9,ROUNDDOWN(($A48+H$6)*(約款料金!$D$14+$J$4)+約款料金!$D$13,0),IF(($A48+H$6)&gt;約款料金!$B$9,ROUNDDOWN(($A48+H$6)*(約款料金!$C$14+$J$4)+約款料金!$C$13,0),ROUNDDOWN(($A48+H$6)*(約款料金!$B$14+$J$4)+約款料金!$B$13,0)))</f>
        <v>19497</v>
      </c>
      <c r="I48" s="360">
        <f>IF(($A48+I$6)&gt;約款料金!$C$9,ROUNDDOWN(($A48+I$6)*(約款料金!$D$14+$J$4)+約款料金!$D$13,0),IF(($A48+I$6)&gt;約款料金!$B$9,ROUNDDOWN(($A48+I$6)*(約款料金!$C$14+$J$4)+約款料金!$C$13,0),ROUNDDOWN(($A48+I$6)*(約款料金!$B$14+$J$4)+約款料金!$B$13,0)))</f>
        <v>19538</v>
      </c>
      <c r="J48" s="360">
        <f>IF(($A48+J$6)&gt;約款料金!$C$9,ROUNDDOWN(($A48+J$6)*(約款料金!$D$14+$J$4)+約款料金!$D$13,0),IF(($A48+J$6)&gt;約款料金!$B$9,ROUNDDOWN(($A48+J$6)*(約款料金!$C$14+$J$4)+約款料金!$C$13,0),ROUNDDOWN(($A48+J$6)*(約款料金!$B$14+$J$4)+約款料金!$B$13,0)))</f>
        <v>19578</v>
      </c>
      <c r="K48" s="366">
        <f>IF(($A48+K$6)&gt;約款料金!$C$9,ROUNDDOWN(($A48+K$6)*(約款料金!$D$14+$J$4)+約款料金!$D$13,0),IF(($A48+K$6)&gt;約款料金!$B$9,ROUNDDOWN(($A48+K$6)*(約款料金!$C$14+$J$4)+約款料金!$C$13,0),ROUNDDOWN(($A48+K$6)*(約款料金!$B$14+$J$4)+約款料金!$B$13,0)))</f>
        <v>19619</v>
      </c>
    </row>
    <row r="49" spans="1:11">
      <c r="A49" s="380">
        <v>42</v>
      </c>
      <c r="B49" s="365">
        <f>IF(($A49+B$6)&gt;約款料金!$C$9,ROUNDDOWN(($A49+B$6)*(約款料金!$D$14+$J$4)+約款料金!$D$13,0),IF(($A49+B$6)&gt;約款料金!$B$9,ROUNDDOWN(($A49+B$6)*(約款料金!$C$14+$J$4)+約款料金!$C$13,0),ROUNDDOWN(($A49+B$6)*(約款料金!$B$14+$J$4)+約款料金!$B$13,0)))</f>
        <v>19660</v>
      </c>
      <c r="C49" s="360">
        <f>IF(($A49+C$6)&gt;約款料金!$C$9,ROUNDDOWN(($A49+C$6)*(約款料金!$D$14+$J$4)+約款料金!$D$13,0),IF(($A49+C$6)&gt;約款料金!$B$9,ROUNDDOWN(($A49+C$6)*(約款料金!$C$14+$J$4)+約款料金!$C$13,0),ROUNDDOWN(($A49+C$6)*(約款料金!$B$14+$J$4)+約款料金!$B$13,0)))</f>
        <v>19701</v>
      </c>
      <c r="D49" s="360">
        <f>IF(($A49+D$6)&gt;約款料金!$C$9,ROUNDDOWN(($A49+D$6)*(約款料金!$D$14+$J$4)+約款料金!$D$13,0),IF(($A49+D$6)&gt;約款料金!$B$9,ROUNDDOWN(($A49+D$6)*(約款料金!$C$14+$J$4)+約款料金!$C$13,0),ROUNDDOWN(($A49+D$6)*(約款料金!$B$14+$J$4)+約款料金!$B$13,0)))</f>
        <v>19742</v>
      </c>
      <c r="E49" s="360">
        <f>IF(($A49+E$6)&gt;約款料金!$C$9,ROUNDDOWN(($A49+E$6)*(約款料金!$D$14+$J$4)+約款料金!$D$13,0),IF(($A49+E$6)&gt;約款料金!$B$9,ROUNDDOWN(($A49+E$6)*(約款料金!$C$14+$J$4)+約款料金!$C$13,0),ROUNDDOWN(($A49+E$6)*(約款料金!$B$14+$J$4)+約款料金!$B$13,0)))</f>
        <v>19783</v>
      </c>
      <c r="F49" s="360">
        <f>IF(($A49+F$6)&gt;約款料金!$C$9,ROUNDDOWN(($A49+F$6)*(約款料金!$D$14+$J$4)+約款料金!$D$13,0),IF(($A49+F$6)&gt;約款料金!$B$9,ROUNDDOWN(($A49+F$6)*(約款料金!$C$14+$J$4)+約款料金!$C$13,0),ROUNDDOWN(($A49+F$6)*(約款料金!$B$14+$J$4)+約款料金!$B$13,0)))</f>
        <v>19823</v>
      </c>
      <c r="G49" s="360">
        <f>IF(($A49+G$6)&gt;約款料金!$C$9,ROUNDDOWN(($A49+G$6)*(約款料金!$D$14+$J$4)+約款料金!$D$13,0),IF(($A49+G$6)&gt;約款料金!$B$9,ROUNDDOWN(($A49+G$6)*(約款料金!$C$14+$J$4)+約款料金!$C$13,0),ROUNDDOWN(($A49+G$6)*(約款料金!$B$14+$J$4)+約款料金!$B$13,0)))</f>
        <v>19864</v>
      </c>
      <c r="H49" s="360">
        <f>IF(($A49+H$6)&gt;約款料金!$C$9,ROUNDDOWN(($A49+H$6)*(約款料金!$D$14+$J$4)+約款料金!$D$13,0),IF(($A49+H$6)&gt;約款料金!$B$9,ROUNDDOWN(($A49+H$6)*(約款料金!$C$14+$J$4)+約款料金!$C$13,0),ROUNDDOWN(($A49+H$6)*(約款料金!$B$14+$J$4)+約款料金!$B$13,0)))</f>
        <v>19905</v>
      </c>
      <c r="I49" s="360">
        <f>IF(($A49+I$6)&gt;約款料金!$C$9,ROUNDDOWN(($A49+I$6)*(約款料金!$D$14+$J$4)+約款料金!$D$13,0),IF(($A49+I$6)&gt;約款料金!$B$9,ROUNDDOWN(($A49+I$6)*(約款料金!$C$14+$J$4)+約款料金!$C$13,0),ROUNDDOWN(($A49+I$6)*(約款料金!$B$14+$J$4)+約款料金!$B$13,0)))</f>
        <v>19946</v>
      </c>
      <c r="J49" s="360">
        <f>IF(($A49+J$6)&gt;約款料金!$C$9,ROUNDDOWN(($A49+J$6)*(約款料金!$D$14+$J$4)+約款料金!$D$13,0),IF(($A49+J$6)&gt;約款料金!$B$9,ROUNDDOWN(($A49+J$6)*(約款料金!$C$14+$J$4)+約款料金!$C$13,0),ROUNDDOWN(($A49+J$6)*(約款料金!$B$14+$J$4)+約款料金!$B$13,0)))</f>
        <v>19987</v>
      </c>
      <c r="K49" s="366">
        <f>IF(($A49+K$6)&gt;約款料金!$C$9,ROUNDDOWN(($A49+K$6)*(約款料金!$D$14+$J$4)+約款料金!$D$13,0),IF(($A49+K$6)&gt;約款料金!$B$9,ROUNDDOWN(($A49+K$6)*(約款料金!$C$14+$J$4)+約款料金!$C$13,0),ROUNDDOWN(($A49+K$6)*(約款料金!$B$14+$J$4)+約款料金!$B$13,0)))</f>
        <v>20027</v>
      </c>
    </row>
    <row r="50" spans="1:11">
      <c r="A50" s="380">
        <v>43</v>
      </c>
      <c r="B50" s="365">
        <f>IF(($A50+B$6)&gt;約款料金!$C$9,ROUNDDOWN(($A50+B$6)*(約款料金!$D$14+$J$4)+約款料金!$D$13,0),IF(($A50+B$6)&gt;約款料金!$B$9,ROUNDDOWN(($A50+B$6)*(約款料金!$C$14+$J$4)+約款料金!$C$13,0),ROUNDDOWN(($A50+B$6)*(約款料金!$B$14+$J$4)+約款料金!$B$13,0)))</f>
        <v>20068</v>
      </c>
      <c r="C50" s="360">
        <f>IF(($A50+C$6)&gt;約款料金!$C$9,ROUNDDOWN(($A50+C$6)*(約款料金!$D$14+$J$4)+約款料金!$D$13,0),IF(($A50+C$6)&gt;約款料金!$B$9,ROUNDDOWN(($A50+C$6)*(約款料金!$C$14+$J$4)+約款料金!$C$13,0),ROUNDDOWN(($A50+C$6)*(約款料金!$B$14+$J$4)+約款料金!$B$13,0)))</f>
        <v>20109</v>
      </c>
      <c r="D50" s="360">
        <f>IF(($A50+D$6)&gt;約款料金!$C$9,ROUNDDOWN(($A50+D$6)*(約款料金!$D$14+$J$4)+約款料金!$D$13,0),IF(($A50+D$6)&gt;約款料金!$B$9,ROUNDDOWN(($A50+D$6)*(約款料金!$C$14+$J$4)+約款料金!$C$13,0),ROUNDDOWN(($A50+D$6)*(約款料金!$B$14+$J$4)+約款料金!$B$13,0)))</f>
        <v>20150</v>
      </c>
      <c r="E50" s="360">
        <f>IF(($A50+E$6)&gt;約款料金!$C$9,ROUNDDOWN(($A50+E$6)*(約款料金!$D$14+$J$4)+約款料金!$D$13,0),IF(($A50+E$6)&gt;約款料金!$B$9,ROUNDDOWN(($A50+E$6)*(約款料金!$C$14+$J$4)+約款料金!$C$13,0),ROUNDDOWN(($A50+E$6)*(約款料金!$B$14+$J$4)+約款料金!$B$13,0)))</f>
        <v>20191</v>
      </c>
      <c r="F50" s="360">
        <f>IF(($A50+F$6)&gt;約款料金!$C$9,ROUNDDOWN(($A50+F$6)*(約款料金!$D$14+$J$4)+約款料金!$D$13,0),IF(($A50+F$6)&gt;約款料金!$B$9,ROUNDDOWN(($A50+F$6)*(約款料金!$C$14+$J$4)+約款料金!$C$13,0),ROUNDDOWN(($A50+F$6)*(約款料金!$B$14+$J$4)+約款料金!$B$13,0)))</f>
        <v>20232</v>
      </c>
      <c r="G50" s="360">
        <f>IF(($A50+G$6)&gt;約款料金!$C$9,ROUNDDOWN(($A50+G$6)*(約款料金!$D$14+$J$4)+約款料金!$D$13,0),IF(($A50+G$6)&gt;約款料金!$B$9,ROUNDDOWN(($A50+G$6)*(約款料金!$C$14+$J$4)+約款料金!$C$13,0),ROUNDDOWN(($A50+G$6)*(約款料金!$B$14+$J$4)+約款料金!$B$13,0)))</f>
        <v>20272</v>
      </c>
      <c r="H50" s="360">
        <f>IF(($A50+H$6)&gt;約款料金!$C$9,ROUNDDOWN(($A50+H$6)*(約款料金!$D$14+$J$4)+約款料金!$D$13,0),IF(($A50+H$6)&gt;約款料金!$B$9,ROUNDDOWN(($A50+H$6)*(約款料金!$C$14+$J$4)+約款料金!$C$13,0),ROUNDDOWN(($A50+H$6)*(約款料金!$B$14+$J$4)+約款料金!$B$13,0)))</f>
        <v>20313</v>
      </c>
      <c r="I50" s="360">
        <f>IF(($A50+I$6)&gt;約款料金!$C$9,ROUNDDOWN(($A50+I$6)*(約款料金!$D$14+$J$4)+約款料金!$D$13,0),IF(($A50+I$6)&gt;約款料金!$B$9,ROUNDDOWN(($A50+I$6)*(約款料金!$C$14+$J$4)+約款料金!$C$13,0),ROUNDDOWN(($A50+I$6)*(約款料金!$B$14+$J$4)+約款料金!$B$13,0)))</f>
        <v>20354</v>
      </c>
      <c r="J50" s="360">
        <f>IF(($A50+J$6)&gt;約款料金!$C$9,ROUNDDOWN(($A50+J$6)*(約款料金!$D$14+$J$4)+約款料金!$D$13,0),IF(($A50+J$6)&gt;約款料金!$B$9,ROUNDDOWN(($A50+J$6)*(約款料金!$C$14+$J$4)+約款料金!$C$13,0),ROUNDDOWN(($A50+J$6)*(約款料金!$B$14+$J$4)+約款料金!$B$13,0)))</f>
        <v>20395</v>
      </c>
      <c r="K50" s="366">
        <f>IF(($A50+K$6)&gt;約款料金!$C$9,ROUNDDOWN(($A50+K$6)*(約款料金!$D$14+$J$4)+約款料金!$D$13,0),IF(($A50+K$6)&gt;約款料金!$B$9,ROUNDDOWN(($A50+K$6)*(約款料金!$C$14+$J$4)+約款料金!$C$13,0),ROUNDDOWN(($A50+K$6)*(約款料金!$B$14+$J$4)+約款料金!$B$13,0)))</f>
        <v>20436</v>
      </c>
    </row>
    <row r="51" spans="1:11">
      <c r="A51" s="380">
        <v>44</v>
      </c>
      <c r="B51" s="365">
        <f>IF(($A51+B$6)&gt;約款料金!$C$9,ROUNDDOWN(($A51+B$6)*(約款料金!$D$14+$J$4)+約款料金!$D$13,0),IF(($A51+B$6)&gt;約款料金!$B$9,ROUNDDOWN(($A51+B$6)*(約款料金!$C$14+$J$4)+約款料金!$C$13,0),ROUNDDOWN(($A51+B$6)*(約款料金!$B$14+$J$4)+約款料金!$B$13,0)))</f>
        <v>20477</v>
      </c>
      <c r="C51" s="360">
        <f>IF(($A51+C$6)&gt;約款料金!$C$9,ROUNDDOWN(($A51+C$6)*(約款料金!$D$14+$J$4)+約款料金!$D$13,0),IF(($A51+C$6)&gt;約款料金!$B$9,ROUNDDOWN(($A51+C$6)*(約款料金!$C$14+$J$4)+約款料金!$C$13,0),ROUNDDOWN(($A51+C$6)*(約款料金!$B$14+$J$4)+約款料金!$B$13,0)))</f>
        <v>20517</v>
      </c>
      <c r="D51" s="360">
        <f>IF(($A51+D$6)&gt;約款料金!$C$9,ROUNDDOWN(($A51+D$6)*(約款料金!$D$14+$J$4)+約款料金!$D$13,0),IF(($A51+D$6)&gt;約款料金!$B$9,ROUNDDOWN(($A51+D$6)*(約款料金!$C$14+$J$4)+約款料金!$C$13,0),ROUNDDOWN(($A51+D$6)*(約款料金!$B$14+$J$4)+約款料金!$B$13,0)))</f>
        <v>20558</v>
      </c>
      <c r="E51" s="360">
        <f>IF(($A51+E$6)&gt;約款料金!$C$9,ROUNDDOWN(($A51+E$6)*(約款料金!$D$14+$J$4)+約款料金!$D$13,0),IF(($A51+E$6)&gt;約款料金!$B$9,ROUNDDOWN(($A51+E$6)*(約款料金!$C$14+$J$4)+約款料金!$C$13,0),ROUNDDOWN(($A51+E$6)*(約款料金!$B$14+$J$4)+約款料金!$B$13,0)))</f>
        <v>20599</v>
      </c>
      <c r="F51" s="360">
        <f>IF(($A51+F$6)&gt;約款料金!$C$9,ROUNDDOWN(($A51+F$6)*(約款料金!$D$14+$J$4)+約款料金!$D$13,0),IF(($A51+F$6)&gt;約款料金!$B$9,ROUNDDOWN(($A51+F$6)*(約款料金!$C$14+$J$4)+約款料金!$C$13,0),ROUNDDOWN(($A51+F$6)*(約款料金!$B$14+$J$4)+約款料金!$B$13,0)))</f>
        <v>20640</v>
      </c>
      <c r="G51" s="360">
        <f>IF(($A51+G$6)&gt;約款料金!$C$9,ROUNDDOWN(($A51+G$6)*(約款料金!$D$14+$J$4)+約款料金!$D$13,0),IF(($A51+G$6)&gt;約款料金!$B$9,ROUNDDOWN(($A51+G$6)*(約款料金!$C$14+$J$4)+約款料金!$C$13,0),ROUNDDOWN(($A51+G$6)*(約款料金!$B$14+$J$4)+約款料金!$B$13,0)))</f>
        <v>20681</v>
      </c>
      <c r="H51" s="360">
        <f>IF(($A51+H$6)&gt;約款料金!$C$9,ROUNDDOWN(($A51+H$6)*(約款料金!$D$14+$J$4)+約款料金!$D$13,0),IF(($A51+H$6)&gt;約款料金!$B$9,ROUNDDOWN(($A51+H$6)*(約款料金!$C$14+$J$4)+約款料金!$C$13,0),ROUNDDOWN(($A51+H$6)*(約款料金!$B$14+$J$4)+約款料金!$B$13,0)))</f>
        <v>20721</v>
      </c>
      <c r="I51" s="360">
        <f>IF(($A51+I$6)&gt;約款料金!$C$9,ROUNDDOWN(($A51+I$6)*(約款料金!$D$14+$J$4)+約款料金!$D$13,0),IF(($A51+I$6)&gt;約款料金!$B$9,ROUNDDOWN(($A51+I$6)*(約款料金!$C$14+$J$4)+約款料金!$C$13,0),ROUNDDOWN(($A51+I$6)*(約款料金!$B$14+$J$4)+約款料金!$B$13,0)))</f>
        <v>20762</v>
      </c>
      <c r="J51" s="360">
        <f>IF(($A51+J$6)&gt;約款料金!$C$9,ROUNDDOWN(($A51+J$6)*(約款料金!$D$14+$J$4)+約款料金!$D$13,0),IF(($A51+J$6)&gt;約款料金!$B$9,ROUNDDOWN(($A51+J$6)*(約款料金!$C$14+$J$4)+約款料金!$C$13,0),ROUNDDOWN(($A51+J$6)*(約款料金!$B$14+$J$4)+約款料金!$B$13,0)))</f>
        <v>20803</v>
      </c>
      <c r="K51" s="366">
        <f>IF(($A51+K$6)&gt;約款料金!$C$9,ROUNDDOWN(($A51+K$6)*(約款料金!$D$14+$J$4)+約款料金!$D$13,0),IF(($A51+K$6)&gt;約款料金!$B$9,ROUNDDOWN(($A51+K$6)*(約款料金!$C$14+$J$4)+約款料金!$C$13,0),ROUNDDOWN(($A51+K$6)*(約款料金!$B$14+$J$4)+約款料金!$B$13,0)))</f>
        <v>20844</v>
      </c>
    </row>
    <row r="52" spans="1:11">
      <c r="A52" s="382">
        <v>45</v>
      </c>
      <c r="B52" s="371">
        <f>IF(($A52+B$6)&gt;約款料金!$C$9,ROUNDDOWN(($A52+B$6)*(約款料金!$D$14+$J$4)+約款料金!$D$13,0),IF(($A52+B$6)&gt;約款料金!$B$9,ROUNDDOWN(($A52+B$6)*(約款料金!$C$14+$J$4)+約款料金!$C$13,0),ROUNDDOWN(($A52+B$6)*(約款料金!$B$14+$J$4)+約款料金!$B$13,0)))</f>
        <v>20885</v>
      </c>
      <c r="C52" s="372">
        <f>IF(($A52+C$6)&gt;約款料金!$C$9,ROUNDDOWN(($A52+C$6)*(約款料金!$D$14+$J$4)+約款料金!$D$13,0),IF(($A52+C$6)&gt;約款料金!$B$9,ROUNDDOWN(($A52+C$6)*(約款料金!$C$14+$J$4)+約款料金!$C$13,0),ROUNDDOWN(($A52+C$6)*(約款料金!$B$14+$J$4)+約款料金!$B$13,0)))</f>
        <v>20926</v>
      </c>
      <c r="D52" s="372">
        <f>IF(($A52+D$6)&gt;約款料金!$C$9,ROUNDDOWN(($A52+D$6)*(約款料金!$D$14+$J$4)+約款料金!$D$13,0),IF(($A52+D$6)&gt;約款料金!$B$9,ROUNDDOWN(($A52+D$6)*(約款料金!$C$14+$J$4)+約款料金!$C$13,0),ROUNDDOWN(($A52+D$6)*(約款料金!$B$14+$J$4)+約款料金!$B$13,0)))</f>
        <v>20966</v>
      </c>
      <c r="E52" s="372">
        <f>IF(($A52+E$6)&gt;約款料金!$C$9,ROUNDDOWN(($A52+E$6)*(約款料金!$D$14+$J$4)+約款料金!$D$13,0),IF(($A52+E$6)&gt;約款料金!$B$9,ROUNDDOWN(($A52+E$6)*(約款料金!$C$14+$J$4)+約款料金!$C$13,0),ROUNDDOWN(($A52+E$6)*(約款料金!$B$14+$J$4)+約款料金!$B$13,0)))</f>
        <v>21007</v>
      </c>
      <c r="F52" s="372">
        <f>IF(($A52+F$6)&gt;約款料金!$C$9,ROUNDDOWN(($A52+F$6)*(約款料金!$D$14+$J$4)+約款料金!$D$13,0),IF(($A52+F$6)&gt;約款料金!$B$9,ROUNDDOWN(($A52+F$6)*(約款料金!$C$14+$J$4)+約款料金!$C$13,0),ROUNDDOWN(($A52+F$6)*(約款料金!$B$14+$J$4)+約款料金!$B$13,0)))</f>
        <v>21048</v>
      </c>
      <c r="G52" s="372">
        <f>IF(($A52+G$6)&gt;約款料金!$C$9,ROUNDDOWN(($A52+G$6)*(約款料金!$D$14+$J$4)+約款料金!$D$13,0),IF(($A52+G$6)&gt;約款料金!$B$9,ROUNDDOWN(($A52+G$6)*(約款料金!$C$14+$J$4)+約款料金!$C$13,0),ROUNDDOWN(($A52+G$6)*(約款料金!$B$14+$J$4)+約款料金!$B$13,0)))</f>
        <v>21089</v>
      </c>
      <c r="H52" s="372">
        <f>IF(($A52+H$6)&gt;約款料金!$C$9,ROUNDDOWN(($A52+H$6)*(約款料金!$D$14+$J$4)+約款料金!$D$13,0),IF(($A52+H$6)&gt;約款料金!$B$9,ROUNDDOWN(($A52+H$6)*(約款料金!$C$14+$J$4)+約款料金!$C$13,0),ROUNDDOWN(($A52+H$6)*(約款料金!$B$14+$J$4)+約款料金!$B$13,0)))</f>
        <v>21130</v>
      </c>
      <c r="I52" s="372">
        <f>IF(($A52+I$6)&gt;約款料金!$C$9,ROUNDDOWN(($A52+I$6)*(約款料金!$D$14+$J$4)+約款料金!$D$13,0),IF(($A52+I$6)&gt;約款料金!$B$9,ROUNDDOWN(($A52+I$6)*(約款料金!$C$14+$J$4)+約款料金!$C$13,0),ROUNDDOWN(($A52+I$6)*(約款料金!$B$14+$J$4)+約款料金!$B$13,0)))</f>
        <v>21170</v>
      </c>
      <c r="J52" s="372">
        <f>IF(($A52+J$6)&gt;約款料金!$C$9,ROUNDDOWN(($A52+J$6)*(約款料金!$D$14+$J$4)+約款料金!$D$13,0),IF(($A52+J$6)&gt;約款料金!$B$9,ROUNDDOWN(($A52+J$6)*(約款料金!$C$14+$J$4)+約款料金!$C$13,0),ROUNDDOWN(($A52+J$6)*(約款料金!$B$14+$J$4)+約款料金!$B$13,0)))</f>
        <v>21211</v>
      </c>
      <c r="K52" s="373">
        <f>IF(($A52+K$6)&gt;約款料金!$C$9,ROUNDDOWN(($A52+K$6)*(約款料金!$D$14+$J$4)+約款料金!$D$13,0),IF(($A52+K$6)&gt;約款料金!$B$9,ROUNDDOWN(($A52+K$6)*(約款料金!$C$14+$J$4)+約款料金!$C$13,0),ROUNDDOWN(($A52+K$6)*(約款料金!$B$14+$J$4)+約款料金!$B$13,0)))</f>
        <v>21252</v>
      </c>
    </row>
    <row r="53" spans="1:11">
      <c r="A53" s="379">
        <v>46</v>
      </c>
      <c r="B53" s="365">
        <f>IF(($A53+B$6)&gt;約款料金!$C$9,ROUNDDOWN(($A53+B$6)*(約款料金!$D$14+$J$4)+約款料金!$D$13,0),IF(($A53+B$6)&gt;約款料金!$B$9,ROUNDDOWN(($A53+B$6)*(約款料金!$C$14+$J$4)+約款料金!$C$13,0),ROUNDDOWN(($A53+B$6)*(約款料金!$B$14+$J$4)+約款料金!$B$13,0)))</f>
        <v>21293</v>
      </c>
      <c r="C53" s="360">
        <f>IF(($A53+C$6)&gt;約款料金!$C$9,ROUNDDOWN(($A53+C$6)*(約款料金!$D$14+$J$4)+約款料金!$D$13,0),IF(($A53+C$6)&gt;約款料金!$B$9,ROUNDDOWN(($A53+C$6)*(約款料金!$C$14+$J$4)+約款料金!$C$13,0),ROUNDDOWN(($A53+C$6)*(約款料金!$B$14+$J$4)+約款料金!$B$13,0)))</f>
        <v>21334</v>
      </c>
      <c r="D53" s="360">
        <f>IF(($A53+D$6)&gt;約款料金!$C$9,ROUNDDOWN(($A53+D$6)*(約款料金!$D$14+$J$4)+約款料金!$D$13,0),IF(($A53+D$6)&gt;約款料金!$B$9,ROUNDDOWN(($A53+D$6)*(約款料金!$C$14+$J$4)+約款料金!$C$13,0),ROUNDDOWN(($A53+D$6)*(約款料金!$B$14+$J$4)+約款料金!$B$13,0)))</f>
        <v>21375</v>
      </c>
      <c r="E53" s="360">
        <f>IF(($A53+E$6)&gt;約款料金!$C$9,ROUNDDOWN(($A53+E$6)*(約款料金!$D$14+$J$4)+約款料金!$D$13,0),IF(($A53+E$6)&gt;約款料金!$B$9,ROUNDDOWN(($A53+E$6)*(約款料金!$C$14+$J$4)+約款料金!$C$13,0),ROUNDDOWN(($A53+E$6)*(約款料金!$B$14+$J$4)+約款料金!$B$13,0)))</f>
        <v>21415</v>
      </c>
      <c r="F53" s="360">
        <f>IF(($A53+F$6)&gt;約款料金!$C$9,ROUNDDOWN(($A53+F$6)*(約款料金!$D$14+$J$4)+約款料金!$D$13,0),IF(($A53+F$6)&gt;約款料金!$B$9,ROUNDDOWN(($A53+F$6)*(約款料金!$C$14+$J$4)+約款料金!$C$13,0),ROUNDDOWN(($A53+F$6)*(約款料金!$B$14+$J$4)+約款料金!$B$13,0)))</f>
        <v>21456</v>
      </c>
      <c r="G53" s="360">
        <f>IF(($A53+G$6)&gt;約款料金!$C$9,ROUNDDOWN(($A53+G$6)*(約款料金!$D$14+$J$4)+約款料金!$D$13,0),IF(($A53+G$6)&gt;約款料金!$B$9,ROUNDDOWN(($A53+G$6)*(約款料金!$C$14+$J$4)+約款料金!$C$13,0),ROUNDDOWN(($A53+G$6)*(約款料金!$B$14+$J$4)+約款料金!$B$13,0)))</f>
        <v>21497</v>
      </c>
      <c r="H53" s="360">
        <f>IF(($A53+H$6)&gt;約款料金!$C$9,ROUNDDOWN(($A53+H$6)*(約款料金!$D$14+$J$4)+約款料金!$D$13,0),IF(($A53+H$6)&gt;約款料金!$B$9,ROUNDDOWN(($A53+H$6)*(約款料金!$C$14+$J$4)+約款料金!$C$13,0),ROUNDDOWN(($A53+H$6)*(約款料金!$B$14+$J$4)+約款料金!$B$13,0)))</f>
        <v>21538</v>
      </c>
      <c r="I53" s="360">
        <f>IF(($A53+I$6)&gt;約款料金!$C$9,ROUNDDOWN(($A53+I$6)*(約款料金!$D$14+$J$4)+約款料金!$D$13,0),IF(($A53+I$6)&gt;約款料金!$B$9,ROUNDDOWN(($A53+I$6)*(約款料金!$C$14+$J$4)+約款料金!$C$13,0),ROUNDDOWN(($A53+I$6)*(約款料金!$B$14+$J$4)+約款料金!$B$13,0)))</f>
        <v>21579</v>
      </c>
      <c r="J53" s="360">
        <f>IF(($A53+J$6)&gt;約款料金!$C$9,ROUNDDOWN(($A53+J$6)*(約款料金!$D$14+$J$4)+約款料金!$D$13,0),IF(($A53+J$6)&gt;約款料金!$B$9,ROUNDDOWN(($A53+J$6)*(約款料金!$C$14+$J$4)+約款料金!$C$13,0),ROUNDDOWN(($A53+J$6)*(約款料金!$B$14+$J$4)+約款料金!$B$13,0)))</f>
        <v>21619</v>
      </c>
      <c r="K53" s="366">
        <f>IF(($A53+K$6)&gt;約款料金!$C$9,ROUNDDOWN(($A53+K$6)*(約款料金!$D$14+$J$4)+約款料金!$D$13,0),IF(($A53+K$6)&gt;約款料金!$B$9,ROUNDDOWN(($A53+K$6)*(約款料金!$C$14+$J$4)+約款料金!$C$13,0),ROUNDDOWN(($A53+K$6)*(約款料金!$B$14+$J$4)+約款料金!$B$13,0)))</f>
        <v>21660</v>
      </c>
    </row>
    <row r="54" spans="1:11">
      <c r="A54" s="380">
        <v>47</v>
      </c>
      <c r="B54" s="365">
        <f>IF(($A54+B$6)&gt;約款料金!$C$9,ROUNDDOWN(($A54+B$6)*(約款料金!$D$14+$J$4)+約款料金!$D$13,0),IF(($A54+B$6)&gt;約款料金!$B$9,ROUNDDOWN(($A54+B$6)*(約款料金!$C$14+$J$4)+約款料金!$C$13,0),ROUNDDOWN(($A54+B$6)*(約款料金!$B$14+$J$4)+約款料金!$B$13,0)))</f>
        <v>21701</v>
      </c>
      <c r="C54" s="360">
        <f>IF(($A54+C$6)&gt;約款料金!$C$9,ROUNDDOWN(($A54+C$6)*(約款料金!$D$14+$J$4)+約款料金!$D$13,0),IF(($A54+C$6)&gt;約款料金!$B$9,ROUNDDOWN(($A54+C$6)*(約款料金!$C$14+$J$4)+約款料金!$C$13,0),ROUNDDOWN(($A54+C$6)*(約款料金!$B$14+$J$4)+約款料金!$B$13,0)))</f>
        <v>21742</v>
      </c>
      <c r="D54" s="360">
        <f>IF(($A54+D$6)&gt;約款料金!$C$9,ROUNDDOWN(($A54+D$6)*(約款料金!$D$14+$J$4)+約款料金!$D$13,0),IF(($A54+D$6)&gt;約款料金!$B$9,ROUNDDOWN(($A54+D$6)*(約款料金!$C$14+$J$4)+約款料金!$C$13,0),ROUNDDOWN(($A54+D$6)*(約款料金!$B$14+$J$4)+約款料金!$B$13,0)))</f>
        <v>21783</v>
      </c>
      <c r="E54" s="360">
        <f>IF(($A54+E$6)&gt;約款料金!$C$9,ROUNDDOWN(($A54+E$6)*(約款料金!$D$14+$J$4)+約款料金!$D$13,0),IF(($A54+E$6)&gt;約款料金!$B$9,ROUNDDOWN(($A54+E$6)*(約款料金!$C$14+$J$4)+約款料金!$C$13,0),ROUNDDOWN(($A54+E$6)*(約款料金!$B$14+$J$4)+約款料金!$B$13,0)))</f>
        <v>21824</v>
      </c>
      <c r="F54" s="360">
        <f>IF(($A54+F$6)&gt;約款料金!$C$9,ROUNDDOWN(($A54+F$6)*(約款料金!$D$14+$J$4)+約款料金!$D$13,0),IF(($A54+F$6)&gt;約款料金!$B$9,ROUNDDOWN(($A54+F$6)*(約款料金!$C$14+$J$4)+約款料金!$C$13,0),ROUNDDOWN(($A54+F$6)*(約款料金!$B$14+$J$4)+約款料金!$B$13,0)))</f>
        <v>21864</v>
      </c>
      <c r="G54" s="360">
        <f>IF(($A54+G$6)&gt;約款料金!$C$9,ROUNDDOWN(($A54+G$6)*(約款料金!$D$14+$J$4)+約款料金!$D$13,0),IF(($A54+G$6)&gt;約款料金!$B$9,ROUNDDOWN(($A54+G$6)*(約款料金!$C$14+$J$4)+約款料金!$C$13,0),ROUNDDOWN(($A54+G$6)*(約款料金!$B$14+$J$4)+約款料金!$B$13,0)))</f>
        <v>21905</v>
      </c>
      <c r="H54" s="360">
        <f>IF(($A54+H$6)&gt;約款料金!$C$9,ROUNDDOWN(($A54+H$6)*(約款料金!$D$14+$J$4)+約款料金!$D$13,0),IF(($A54+H$6)&gt;約款料金!$B$9,ROUNDDOWN(($A54+H$6)*(約款料金!$C$14+$J$4)+約款料金!$C$13,0),ROUNDDOWN(($A54+H$6)*(約款料金!$B$14+$J$4)+約款料金!$B$13,0)))</f>
        <v>21946</v>
      </c>
      <c r="I54" s="360">
        <f>IF(($A54+I$6)&gt;約款料金!$C$9,ROUNDDOWN(($A54+I$6)*(約款料金!$D$14+$J$4)+約款料金!$D$13,0),IF(($A54+I$6)&gt;約款料金!$B$9,ROUNDDOWN(($A54+I$6)*(約款料金!$C$14+$J$4)+約款料金!$C$13,0),ROUNDDOWN(($A54+I$6)*(約款料金!$B$14+$J$4)+約款料金!$B$13,0)))</f>
        <v>21987</v>
      </c>
      <c r="J54" s="360">
        <f>IF(($A54+J$6)&gt;約款料金!$C$9,ROUNDDOWN(($A54+J$6)*(約款料金!$D$14+$J$4)+約款料金!$D$13,0),IF(($A54+J$6)&gt;約款料金!$B$9,ROUNDDOWN(($A54+J$6)*(約款料金!$C$14+$J$4)+約款料金!$C$13,0),ROUNDDOWN(($A54+J$6)*(約款料金!$B$14+$J$4)+約款料金!$B$13,0)))</f>
        <v>22028</v>
      </c>
      <c r="K54" s="366">
        <f>IF(($A54+K$6)&gt;約款料金!$C$9,ROUNDDOWN(($A54+K$6)*(約款料金!$D$14+$J$4)+約款料金!$D$13,0),IF(($A54+K$6)&gt;約款料金!$B$9,ROUNDDOWN(($A54+K$6)*(約款料金!$C$14+$J$4)+約款料金!$C$13,0),ROUNDDOWN(($A54+K$6)*(約款料金!$B$14+$J$4)+約款料金!$B$13,0)))</f>
        <v>22068</v>
      </c>
    </row>
    <row r="55" spans="1:11">
      <c r="A55" s="380">
        <v>48</v>
      </c>
      <c r="B55" s="365">
        <f>IF(($A55+B$6)&gt;約款料金!$C$9,ROUNDDOWN(($A55+B$6)*(約款料金!$D$14+$J$4)+約款料金!$D$13,0),IF(($A55+B$6)&gt;約款料金!$B$9,ROUNDDOWN(($A55+B$6)*(約款料金!$C$14+$J$4)+約款料金!$C$13,0),ROUNDDOWN(($A55+B$6)*(約款料金!$B$14+$J$4)+約款料金!$B$13,0)))</f>
        <v>22109</v>
      </c>
      <c r="C55" s="360">
        <f>IF(($A55+C$6)&gt;約款料金!$C$9,ROUNDDOWN(($A55+C$6)*(約款料金!$D$14+$J$4)+約款料金!$D$13,0),IF(($A55+C$6)&gt;約款料金!$B$9,ROUNDDOWN(($A55+C$6)*(約款料金!$C$14+$J$4)+約款料金!$C$13,0),ROUNDDOWN(($A55+C$6)*(約款料金!$B$14+$J$4)+約款料金!$B$13,0)))</f>
        <v>22150</v>
      </c>
      <c r="D55" s="360">
        <f>IF(($A55+D$6)&gt;約款料金!$C$9,ROUNDDOWN(($A55+D$6)*(約款料金!$D$14+$J$4)+約款料金!$D$13,0),IF(($A55+D$6)&gt;約款料金!$B$9,ROUNDDOWN(($A55+D$6)*(約款料金!$C$14+$J$4)+約款料金!$C$13,0),ROUNDDOWN(($A55+D$6)*(約款料金!$B$14+$J$4)+約款料金!$B$13,0)))</f>
        <v>22191</v>
      </c>
      <c r="E55" s="360">
        <f>IF(($A55+E$6)&gt;約款料金!$C$9,ROUNDDOWN(($A55+E$6)*(約款料金!$D$14+$J$4)+約款料金!$D$13,0),IF(($A55+E$6)&gt;約款料金!$B$9,ROUNDDOWN(($A55+E$6)*(約款料金!$C$14+$J$4)+約款料金!$C$13,0),ROUNDDOWN(($A55+E$6)*(約款料金!$B$14+$J$4)+約款料金!$B$13,0)))</f>
        <v>22232</v>
      </c>
      <c r="F55" s="360">
        <f>IF(($A55+F$6)&gt;約款料金!$C$9,ROUNDDOWN(($A55+F$6)*(約款料金!$D$14+$J$4)+約款料金!$D$13,0),IF(($A55+F$6)&gt;約款料金!$B$9,ROUNDDOWN(($A55+F$6)*(約款料金!$C$14+$J$4)+約款料金!$C$13,0),ROUNDDOWN(($A55+F$6)*(約款料金!$B$14+$J$4)+約款料金!$B$13,0)))</f>
        <v>22273</v>
      </c>
      <c r="G55" s="360">
        <f>IF(($A55+G$6)&gt;約款料金!$C$9,ROUNDDOWN(($A55+G$6)*(約款料金!$D$14+$J$4)+約款料金!$D$13,0),IF(($A55+G$6)&gt;約款料金!$B$9,ROUNDDOWN(($A55+G$6)*(約款料金!$C$14+$J$4)+約款料金!$C$13,0),ROUNDDOWN(($A55+G$6)*(約款料金!$B$14+$J$4)+約款料金!$B$13,0)))</f>
        <v>22313</v>
      </c>
      <c r="H55" s="360">
        <f>IF(($A55+H$6)&gt;約款料金!$C$9,ROUNDDOWN(($A55+H$6)*(約款料金!$D$14+$J$4)+約款料金!$D$13,0),IF(($A55+H$6)&gt;約款料金!$B$9,ROUNDDOWN(($A55+H$6)*(約款料金!$C$14+$J$4)+約款料金!$C$13,0),ROUNDDOWN(($A55+H$6)*(約款料金!$B$14+$J$4)+約款料金!$B$13,0)))</f>
        <v>22354</v>
      </c>
      <c r="I55" s="360">
        <f>IF(($A55+I$6)&gt;約款料金!$C$9,ROUNDDOWN(($A55+I$6)*(約款料金!$D$14+$J$4)+約款料金!$D$13,0),IF(($A55+I$6)&gt;約款料金!$B$9,ROUNDDOWN(($A55+I$6)*(約款料金!$C$14+$J$4)+約款料金!$C$13,0),ROUNDDOWN(($A55+I$6)*(約款料金!$B$14+$J$4)+約款料金!$B$13,0)))</f>
        <v>22395</v>
      </c>
      <c r="J55" s="360">
        <f>IF(($A55+J$6)&gt;約款料金!$C$9,ROUNDDOWN(($A55+J$6)*(約款料金!$D$14+$J$4)+約款料金!$D$13,0),IF(($A55+J$6)&gt;約款料金!$B$9,ROUNDDOWN(($A55+J$6)*(約款料金!$C$14+$J$4)+約款料金!$C$13,0),ROUNDDOWN(($A55+J$6)*(約款料金!$B$14+$J$4)+約款料金!$B$13,0)))</f>
        <v>22436</v>
      </c>
      <c r="K55" s="366">
        <f>IF(($A55+K$6)&gt;約款料金!$C$9,ROUNDDOWN(($A55+K$6)*(約款料金!$D$14+$J$4)+約款料金!$D$13,0),IF(($A55+K$6)&gt;約款料金!$B$9,ROUNDDOWN(($A55+K$6)*(約款料金!$C$14+$J$4)+約款料金!$C$13,0),ROUNDDOWN(($A55+K$6)*(約款料金!$B$14+$J$4)+約款料金!$B$13,0)))</f>
        <v>22477</v>
      </c>
    </row>
    <row r="56" spans="1:11" ht="14.5" thickBot="1">
      <c r="A56" s="384">
        <v>49</v>
      </c>
      <c r="B56" s="361">
        <f>IF(($A56+B$6)&gt;約款料金!$C$9,ROUNDDOWN(($A56+B$6)*(約款料金!$D$14+$J$4)+約款料金!$D$13,0),IF(($A56+B$6)&gt;約款料金!$B$9,ROUNDDOWN(($A56+B$6)*(約款料金!$C$14+$J$4)+約款料金!$C$13,0),ROUNDDOWN(($A56+B$6)*(約款料金!$B$14+$J$4)+約款料金!$B$13,0)))</f>
        <v>22518</v>
      </c>
      <c r="C56" s="362">
        <f>IF(($A56+C$6)&gt;約款料金!$C$9,ROUNDDOWN(($A56+C$6)*(約款料金!$D$14+$J$4)+約款料金!$D$13,0),IF(($A56+C$6)&gt;約款料金!$B$9,ROUNDDOWN(($A56+C$6)*(約款料金!$C$14+$J$4)+約款料金!$C$13,0),ROUNDDOWN(($A56+C$6)*(約款料金!$B$14+$J$4)+約款料金!$B$13,0)))</f>
        <v>22558</v>
      </c>
      <c r="D56" s="362">
        <f>IF(($A56+D$6)&gt;約款料金!$C$9,ROUNDDOWN(($A56+D$6)*(約款料金!$D$14+$J$4)+約款料金!$D$13,0),IF(($A56+D$6)&gt;約款料金!$B$9,ROUNDDOWN(($A56+D$6)*(約款料金!$C$14+$J$4)+約款料金!$C$13,0),ROUNDDOWN(($A56+D$6)*(約款料金!$B$14+$J$4)+約款料金!$B$13,0)))</f>
        <v>22599</v>
      </c>
      <c r="E56" s="362">
        <f>IF(($A56+E$6)&gt;約款料金!$C$9,ROUNDDOWN(($A56+E$6)*(約款料金!$D$14+$J$4)+約款料金!$D$13,0),IF(($A56+E$6)&gt;約款料金!$B$9,ROUNDDOWN(($A56+E$6)*(約款料金!$C$14+$J$4)+約款料金!$C$13,0),ROUNDDOWN(($A56+E$6)*(約款料金!$B$14+$J$4)+約款料金!$B$13,0)))</f>
        <v>22640</v>
      </c>
      <c r="F56" s="362">
        <f>IF(($A56+F$6)&gt;約款料金!$C$9,ROUNDDOWN(($A56+F$6)*(約款料金!$D$14+$J$4)+約款料金!$D$13,0),IF(($A56+F$6)&gt;約款料金!$B$9,ROUNDDOWN(($A56+F$6)*(約款料金!$C$14+$J$4)+約款料金!$C$13,0),ROUNDDOWN(($A56+F$6)*(約款料金!$B$14+$J$4)+約款料金!$B$13,0)))</f>
        <v>22681</v>
      </c>
      <c r="G56" s="362">
        <f>IF(($A56+G$6)&gt;約款料金!$C$9,ROUNDDOWN(($A56+G$6)*(約款料金!$D$14+$J$4)+約款料金!$D$13,0),IF(($A56+G$6)&gt;約款料金!$B$9,ROUNDDOWN(($A56+G$6)*(約款料金!$C$14+$J$4)+約款料金!$C$13,0),ROUNDDOWN(($A56+G$6)*(約款料金!$B$14+$J$4)+約款料金!$B$13,0)))</f>
        <v>22722</v>
      </c>
      <c r="H56" s="362">
        <f>IF(($A56+H$6)&gt;約款料金!$C$9,ROUNDDOWN(($A56+H$6)*(約款料金!$D$14+$J$4)+約款料金!$D$13,0),IF(($A56+H$6)&gt;約款料金!$B$9,ROUNDDOWN(($A56+H$6)*(約款料金!$C$14+$J$4)+約款料金!$C$13,0),ROUNDDOWN(($A56+H$6)*(約款料金!$B$14+$J$4)+約款料金!$B$13,0)))</f>
        <v>22762</v>
      </c>
      <c r="I56" s="362">
        <f>IF(($A56+I$6)&gt;約款料金!$C$9,ROUNDDOWN(($A56+I$6)*(約款料金!$D$14+$J$4)+約款料金!$D$13,0),IF(($A56+I$6)&gt;約款料金!$B$9,ROUNDDOWN(($A56+I$6)*(約款料金!$C$14+$J$4)+約款料金!$C$13,0),ROUNDDOWN(($A56+I$6)*(約款料金!$B$14+$J$4)+約款料金!$B$13,0)))</f>
        <v>22803</v>
      </c>
      <c r="J56" s="362">
        <f>IF(($A56+J$6)&gt;約款料金!$C$9,ROUNDDOWN(($A56+J$6)*(約款料金!$D$14+$J$4)+約款料金!$D$13,0),IF(($A56+J$6)&gt;約款料金!$B$9,ROUNDDOWN(($A56+J$6)*(約款料金!$C$14+$J$4)+約款料金!$C$13,0),ROUNDDOWN(($A56+J$6)*(約款料金!$B$14+$J$4)+約款料金!$B$13,0)))</f>
        <v>22844</v>
      </c>
      <c r="K56" s="367">
        <f>IF(($A56+K$6)&gt;約款料金!$C$9,ROUNDDOWN(($A56+K$6)*(約款料金!$D$14+$J$4)+約款料金!$D$13,0),IF(($A56+K$6)&gt;約款料金!$B$9,ROUNDDOWN(($A56+K$6)*(約款料金!$C$14+$J$4)+約款料金!$C$13,0),ROUNDDOWN(($A56+K$6)*(約款料金!$B$14+$J$4)+約款料金!$B$13,0)))</f>
        <v>22885</v>
      </c>
    </row>
    <row r="57" spans="1:11">
      <c r="A57" s="377"/>
      <c r="B57" s="363"/>
      <c r="C57" s="363"/>
      <c r="D57" s="363"/>
      <c r="E57" s="363"/>
      <c r="F57" s="363"/>
      <c r="G57" s="363"/>
      <c r="H57" s="363"/>
      <c r="I57" s="363"/>
      <c r="J57" s="363"/>
      <c r="K57" s="363"/>
    </row>
    <row r="58" spans="1:11">
      <c r="A58" s="377"/>
      <c r="B58" s="363"/>
      <c r="C58" s="363"/>
      <c r="D58" s="363"/>
      <c r="E58" s="363"/>
      <c r="F58" s="363"/>
      <c r="G58" s="363"/>
      <c r="H58" s="363"/>
      <c r="I58" s="363"/>
      <c r="J58" s="363"/>
      <c r="K58" s="363"/>
    </row>
    <row r="59" spans="1:11">
      <c r="A59" s="377"/>
      <c r="B59" s="363"/>
      <c r="C59" s="363"/>
      <c r="D59" s="363"/>
      <c r="E59" s="363"/>
      <c r="F59" s="363"/>
      <c r="G59" s="363"/>
      <c r="H59" s="363"/>
      <c r="I59" s="363"/>
      <c r="J59" s="363"/>
      <c r="K59" s="363"/>
    </row>
    <row r="60" spans="1:11">
      <c r="A60" s="432" t="str">
        <f>A4</f>
        <v>コミュニティー団地</v>
      </c>
      <c r="B60" s="363"/>
      <c r="C60" s="363"/>
      <c r="D60" s="363"/>
      <c r="E60" s="363"/>
      <c r="F60" s="363"/>
      <c r="G60" s="363"/>
      <c r="H60" s="363"/>
      <c r="I60" s="363"/>
      <c r="J60" s="363"/>
      <c r="K60" s="363"/>
    </row>
    <row r="61" spans="1:11" ht="14.5" thickBot="1">
      <c r="A61" s="364"/>
      <c r="B61" s="149"/>
      <c r="C61" s="149"/>
      <c r="D61" s="149"/>
      <c r="E61" s="149"/>
      <c r="F61" s="149"/>
      <c r="G61" s="149"/>
      <c r="H61" s="149"/>
      <c r="I61" s="149"/>
      <c r="J61" s="357"/>
      <c r="K61" s="148"/>
    </row>
    <row r="62" spans="1:11" ht="14.5" thickBot="1">
      <c r="A62" s="385"/>
      <c r="B62" s="358">
        <v>0</v>
      </c>
      <c r="C62" s="358">
        <v>0.1</v>
      </c>
      <c r="D62" s="358">
        <v>0.2</v>
      </c>
      <c r="E62" s="358">
        <v>0.3</v>
      </c>
      <c r="F62" s="358">
        <v>0.4</v>
      </c>
      <c r="G62" s="358">
        <v>0.5</v>
      </c>
      <c r="H62" s="358">
        <v>0.6</v>
      </c>
      <c r="I62" s="358">
        <v>0.7</v>
      </c>
      <c r="J62" s="358">
        <v>0.8</v>
      </c>
      <c r="K62" s="359">
        <v>0.9</v>
      </c>
    </row>
    <row r="63" spans="1:11">
      <c r="A63" s="386">
        <v>50</v>
      </c>
      <c r="B63" s="445">
        <f>IF(($A63+B$6)&gt;約款料金!$C$9,ROUNDDOWN(($A63+B$6)*(約款料金!$D$14+$J$4)+約款料金!$D$13,0),IF(($A63+B$6)&gt;約款料金!$B$9,ROUNDDOWN(($A63+B$6)*(約款料金!$C$14+$J$4)+約款料金!$C$13,0),ROUNDDOWN(($A63+B$6)*(約款料金!$B$14+$J$4)+約款料金!$B$13,0)))</f>
        <v>22926</v>
      </c>
      <c r="C63" s="446">
        <f>IF(($A63+C$6)&gt;約款料金!$C$9,ROUNDDOWN(($A63+C$6)*(約款料金!$D$14+$J$4)+約款料金!$D$13,0),IF(($A63+C$6)&gt;約款料金!$B$9,ROUNDDOWN(($A63+C$6)*(約款料金!$C$14+$J$4)+約款料金!$C$13,0),ROUNDDOWN(($A63+C$6)*(約款料金!$B$14+$J$4)+約款料金!$B$13,0)))</f>
        <v>22967</v>
      </c>
      <c r="D63" s="446">
        <f>IF(($A63+D$6)&gt;約款料金!$C$9,ROUNDDOWN(($A63+D$6)*(約款料金!$D$14+$J$4)+約款料金!$D$13,0),IF(($A63+D$6)&gt;約款料金!$B$9,ROUNDDOWN(($A63+D$6)*(約款料金!$C$14+$J$4)+約款料金!$C$13,0),ROUNDDOWN(($A63+D$6)*(約款料金!$B$14+$J$4)+約款料金!$B$13,0)))</f>
        <v>23007</v>
      </c>
      <c r="E63" s="446">
        <f>IF(($A63+E$6)&gt;約款料金!$C$9,ROUNDDOWN(($A63+E$6)*(約款料金!$D$14+$J$4)+約款料金!$D$13,0),IF(($A63+E$6)&gt;約款料金!$B$9,ROUNDDOWN(($A63+E$6)*(約款料金!$C$14+$J$4)+約款料金!$C$13,0),ROUNDDOWN(($A63+E$6)*(約款料金!$B$14+$J$4)+約款料金!$B$13,0)))</f>
        <v>23048</v>
      </c>
      <c r="F63" s="446">
        <f>IF(($A63+F$6)&gt;約款料金!$C$9,ROUNDDOWN(($A63+F$6)*(約款料金!$D$14+$J$4)+約款料金!$D$13,0),IF(($A63+F$6)&gt;約款料金!$B$9,ROUNDDOWN(($A63+F$6)*(約款料金!$C$14+$J$4)+約款料金!$C$13,0),ROUNDDOWN(($A63+F$6)*(約款料金!$B$14+$J$4)+約款料金!$B$13,0)))</f>
        <v>23089</v>
      </c>
      <c r="G63" s="446">
        <f>IF(($A63+G$6)&gt;約款料金!$C$9,ROUNDDOWN(($A63+G$6)*(約款料金!$D$14+$J$4)+約款料金!$D$13,0),IF(($A63+G$6)&gt;約款料金!$B$9,ROUNDDOWN(($A63+G$6)*(約款料金!$C$14+$J$4)+約款料金!$C$13,0),ROUNDDOWN(($A63+G$6)*(約款料金!$B$14+$J$4)+約款料金!$B$13,0)))</f>
        <v>23130</v>
      </c>
      <c r="H63" s="446">
        <f>IF(($A63+H$6)&gt;約款料金!$C$9,ROUNDDOWN(($A63+H$6)*(約款料金!$D$14+$J$4)+約款料金!$D$13,0),IF(($A63+H$6)&gt;約款料金!$B$9,ROUNDDOWN(($A63+H$6)*(約款料金!$C$14+$J$4)+約款料金!$C$13,0),ROUNDDOWN(($A63+H$6)*(約款料金!$B$14+$J$4)+約款料金!$B$13,0)))</f>
        <v>23171</v>
      </c>
      <c r="I63" s="446">
        <f>IF(($A63+I$6)&gt;約款料金!$C$9,ROUNDDOWN(($A63+I$6)*(約款料金!$D$14+$J$4)+約款料金!$D$13,0),IF(($A63+I$6)&gt;約款料金!$B$9,ROUNDDOWN(($A63+I$6)*(約款料金!$C$14+$J$4)+約款料金!$C$13,0),ROUNDDOWN(($A63+I$6)*(約款料金!$B$14+$J$4)+約款料金!$B$13,0)))</f>
        <v>23211</v>
      </c>
      <c r="J63" s="446">
        <f>IF(($A63+J$6)&gt;約款料金!$C$9,ROUNDDOWN(($A63+J$6)*(約款料金!$D$14+$J$4)+約款料金!$D$13,0),IF(($A63+J$6)&gt;約款料金!$B$9,ROUNDDOWN(($A63+J$6)*(約款料金!$C$14+$J$4)+約款料金!$C$13,0),ROUNDDOWN(($A63+J$6)*(約款料金!$B$14+$J$4)+約款料金!$B$13,0)))</f>
        <v>23252</v>
      </c>
      <c r="K63" s="447">
        <f>IF(($A63+K$6)&gt;約款料金!$C$9,ROUNDDOWN(($A63+K$6)*(約款料金!$D$14+$J$4)+約款料金!$D$13,0),IF(($A63+K$6)&gt;約款料金!$B$9,ROUNDDOWN(($A63+K$6)*(約款料金!$C$14+$J$4)+約款料金!$C$13,0),ROUNDDOWN(($A63+K$6)*(約款料金!$B$14+$J$4)+約款料金!$B$13,0)))</f>
        <v>23293</v>
      </c>
    </row>
    <row r="64" spans="1:11">
      <c r="A64" s="387">
        <v>51</v>
      </c>
      <c r="B64" s="365">
        <f>IF(($A64+B$6)&gt;約款料金!$C$9,ROUNDDOWN(($A64+B$6)*(約款料金!$D$14+$J$4)+約款料金!$D$13,0),IF(($A64+B$6)&gt;約款料金!$B$9,ROUNDDOWN(($A64+B$6)*(約款料金!$C$14+$J$4)+約款料金!$C$13,0),ROUNDDOWN(($A64+B$6)*(約款料金!$B$14+$J$4)+約款料金!$B$13,0)))</f>
        <v>23334</v>
      </c>
      <c r="C64" s="360">
        <f>IF(($A64+C$6)&gt;約款料金!$C$9,ROUNDDOWN(($A64+C$6)*(約款料金!$D$14+$J$4)+約款料金!$D$13,0),IF(($A64+C$6)&gt;約款料金!$B$9,ROUNDDOWN(($A64+C$6)*(約款料金!$C$14+$J$4)+約款料金!$C$13,0),ROUNDDOWN(($A64+C$6)*(約款料金!$B$14+$J$4)+約款料金!$B$13,0)))</f>
        <v>23375</v>
      </c>
      <c r="D64" s="360">
        <f>IF(($A64+D$6)&gt;約款料金!$C$9,ROUNDDOWN(($A64+D$6)*(約款料金!$D$14+$J$4)+約款料金!$D$13,0),IF(($A64+D$6)&gt;約款料金!$B$9,ROUNDDOWN(($A64+D$6)*(約款料金!$C$14+$J$4)+約款料金!$C$13,0),ROUNDDOWN(($A64+D$6)*(約款料金!$B$14+$J$4)+約款料金!$B$13,0)))</f>
        <v>23416</v>
      </c>
      <c r="E64" s="360">
        <f>IF(($A64+E$6)&gt;約款料金!$C$9,ROUNDDOWN(($A64+E$6)*(約款料金!$D$14+$J$4)+約款料金!$D$13,0),IF(($A64+E$6)&gt;約款料金!$B$9,ROUNDDOWN(($A64+E$6)*(約款料金!$C$14+$J$4)+約款料金!$C$13,0),ROUNDDOWN(($A64+E$6)*(約款料金!$B$14+$J$4)+約款料金!$B$13,0)))</f>
        <v>23456</v>
      </c>
      <c r="F64" s="360">
        <f>IF(($A64+F$6)&gt;約款料金!$C$9,ROUNDDOWN(($A64+F$6)*(約款料金!$D$14+$J$4)+約款料金!$D$13,0),IF(($A64+F$6)&gt;約款料金!$B$9,ROUNDDOWN(($A64+F$6)*(約款料金!$C$14+$J$4)+約款料金!$C$13,0),ROUNDDOWN(($A64+F$6)*(約款料金!$B$14+$J$4)+約款料金!$B$13,0)))</f>
        <v>23497</v>
      </c>
      <c r="G64" s="360">
        <f>IF(($A64+G$6)&gt;約款料金!$C$9,ROUNDDOWN(($A64+G$6)*(約款料金!$D$14+$J$4)+約款料金!$D$13,0),IF(($A64+G$6)&gt;約款料金!$B$9,ROUNDDOWN(($A64+G$6)*(約款料金!$C$14+$J$4)+約款料金!$C$13,0),ROUNDDOWN(($A64+G$6)*(約款料金!$B$14+$J$4)+約款料金!$B$13,0)))</f>
        <v>23538</v>
      </c>
      <c r="H64" s="360">
        <f>IF(($A64+H$6)&gt;約款料金!$C$9,ROUNDDOWN(($A64+H$6)*(約款料金!$D$14+$J$4)+約款料金!$D$13,0),IF(($A64+H$6)&gt;約款料金!$B$9,ROUNDDOWN(($A64+H$6)*(約款料金!$C$14+$J$4)+約款料金!$C$13,0),ROUNDDOWN(($A64+H$6)*(約款料金!$B$14+$J$4)+約款料金!$B$13,0)))</f>
        <v>23579</v>
      </c>
      <c r="I64" s="360">
        <f>IF(($A64+I$6)&gt;約款料金!$C$9,ROUNDDOWN(($A64+I$6)*(約款料金!$D$14+$J$4)+約款料金!$D$13,0),IF(($A64+I$6)&gt;約款料金!$B$9,ROUNDDOWN(($A64+I$6)*(約款料金!$C$14+$J$4)+約款料金!$C$13,0),ROUNDDOWN(($A64+I$6)*(約款料金!$B$14+$J$4)+約款料金!$B$13,0)))</f>
        <v>23620</v>
      </c>
      <c r="J64" s="360">
        <f>IF(($A64+J$6)&gt;約款料金!$C$9,ROUNDDOWN(($A64+J$6)*(約款料金!$D$14+$J$4)+約款料金!$D$13,0),IF(($A64+J$6)&gt;約款料金!$B$9,ROUNDDOWN(($A64+J$6)*(約款料金!$C$14+$J$4)+約款料金!$C$13,0),ROUNDDOWN(($A64+J$6)*(約款料金!$B$14+$J$4)+約款料金!$B$13,0)))</f>
        <v>23660</v>
      </c>
      <c r="K64" s="366">
        <f>IF(($A64+K$6)&gt;約款料金!$C$9,ROUNDDOWN(($A64+K$6)*(約款料金!$D$14+$J$4)+約款料金!$D$13,0),IF(($A64+K$6)&gt;約款料金!$B$9,ROUNDDOWN(($A64+K$6)*(約款料金!$C$14+$J$4)+約款料金!$C$13,0),ROUNDDOWN(($A64+K$6)*(約款料金!$B$14+$J$4)+約款料金!$B$13,0)))</f>
        <v>23701</v>
      </c>
    </row>
    <row r="65" spans="1:11">
      <c r="A65" s="380">
        <v>52</v>
      </c>
      <c r="B65" s="365">
        <f>IF(($A65+B$6)&gt;約款料金!$C$9,ROUNDDOWN(($A65+B$6)*(約款料金!$D$14+$J$4)+約款料金!$D$13,0),IF(($A65+B$6)&gt;約款料金!$B$9,ROUNDDOWN(($A65+B$6)*(約款料金!$C$14+$J$4)+約款料金!$C$13,0),ROUNDDOWN(($A65+B$6)*(約款料金!$B$14+$J$4)+約款料金!$B$13,0)))</f>
        <v>23742</v>
      </c>
      <c r="C65" s="360">
        <f>IF(($A65+C$6)&gt;約款料金!$C$9,ROUNDDOWN(($A65+C$6)*(約款料金!$D$14+$J$4)+約款料金!$D$13,0),IF(($A65+C$6)&gt;約款料金!$B$9,ROUNDDOWN(($A65+C$6)*(約款料金!$C$14+$J$4)+約款料金!$C$13,0),ROUNDDOWN(($A65+C$6)*(約款料金!$B$14+$J$4)+約款料金!$B$13,0)))</f>
        <v>23783</v>
      </c>
      <c r="D65" s="360">
        <f>IF(($A65+D$6)&gt;約款料金!$C$9,ROUNDDOWN(($A65+D$6)*(約款料金!$D$14+$J$4)+約款料金!$D$13,0),IF(($A65+D$6)&gt;約款料金!$B$9,ROUNDDOWN(($A65+D$6)*(約款料金!$C$14+$J$4)+約款料金!$C$13,0),ROUNDDOWN(($A65+D$6)*(約款料金!$B$14+$J$4)+約款料金!$B$13,0)))</f>
        <v>23824</v>
      </c>
      <c r="E65" s="360">
        <f>IF(($A65+E$6)&gt;約款料金!$C$9,ROUNDDOWN(($A65+E$6)*(約款料金!$D$14+$J$4)+約款料金!$D$13,0),IF(($A65+E$6)&gt;約款料金!$B$9,ROUNDDOWN(($A65+E$6)*(約款料金!$C$14+$J$4)+約款料金!$C$13,0),ROUNDDOWN(($A65+E$6)*(約款料金!$B$14+$J$4)+約款料金!$B$13,0)))</f>
        <v>23865</v>
      </c>
      <c r="F65" s="360">
        <f>IF(($A65+F$6)&gt;約款料金!$C$9,ROUNDDOWN(($A65+F$6)*(約款料金!$D$14+$J$4)+約款料金!$D$13,0),IF(($A65+F$6)&gt;約款料金!$B$9,ROUNDDOWN(($A65+F$6)*(約款料金!$C$14+$J$4)+約款料金!$C$13,0),ROUNDDOWN(($A65+F$6)*(約款料金!$B$14+$J$4)+約款料金!$B$13,0)))</f>
        <v>23905</v>
      </c>
      <c r="G65" s="360">
        <f>IF(($A65+G$6)&gt;約款料金!$C$9,ROUNDDOWN(($A65+G$6)*(約款料金!$D$14+$J$4)+約款料金!$D$13,0),IF(($A65+G$6)&gt;約款料金!$B$9,ROUNDDOWN(($A65+G$6)*(約款料金!$C$14+$J$4)+約款料金!$C$13,0),ROUNDDOWN(($A65+G$6)*(約款料金!$B$14+$J$4)+約款料金!$B$13,0)))</f>
        <v>23946</v>
      </c>
      <c r="H65" s="360">
        <f>IF(($A65+H$6)&gt;約款料金!$C$9,ROUNDDOWN(($A65+H$6)*(約款料金!$D$14+$J$4)+約款料金!$D$13,0),IF(($A65+H$6)&gt;約款料金!$B$9,ROUNDDOWN(($A65+H$6)*(約款料金!$C$14+$J$4)+約款料金!$C$13,0),ROUNDDOWN(($A65+H$6)*(約款料金!$B$14+$J$4)+約款料金!$B$13,0)))</f>
        <v>23987</v>
      </c>
      <c r="I65" s="360">
        <f>IF(($A65+I$6)&gt;約款料金!$C$9,ROUNDDOWN(($A65+I$6)*(約款料金!$D$14+$J$4)+約款料金!$D$13,0),IF(($A65+I$6)&gt;約款料金!$B$9,ROUNDDOWN(($A65+I$6)*(約款料金!$C$14+$J$4)+約款料金!$C$13,0),ROUNDDOWN(($A65+I$6)*(約款料金!$B$14+$J$4)+約款料金!$B$13,0)))</f>
        <v>24028</v>
      </c>
      <c r="J65" s="360">
        <f>IF(($A65+J$6)&gt;約款料金!$C$9,ROUNDDOWN(($A65+J$6)*(約款料金!$D$14+$J$4)+約款料金!$D$13,0),IF(($A65+J$6)&gt;約款料金!$B$9,ROUNDDOWN(($A65+J$6)*(約款料金!$C$14+$J$4)+約款料金!$C$13,0),ROUNDDOWN(($A65+J$6)*(約款料金!$B$14+$J$4)+約款料金!$B$13,0)))</f>
        <v>24069</v>
      </c>
      <c r="K65" s="366">
        <f>IF(($A65+K$6)&gt;約款料金!$C$9,ROUNDDOWN(($A65+K$6)*(約款料金!$D$14+$J$4)+約款料金!$D$13,0),IF(($A65+K$6)&gt;約款料金!$B$9,ROUNDDOWN(($A65+K$6)*(約款料金!$C$14+$J$4)+約款料金!$C$13,0),ROUNDDOWN(($A65+K$6)*(約款料金!$B$14+$J$4)+約款料金!$B$13,0)))</f>
        <v>24109</v>
      </c>
    </row>
    <row r="66" spans="1:11">
      <c r="A66" s="380">
        <v>53</v>
      </c>
      <c r="B66" s="365">
        <f>IF(($A66+B$6)&gt;約款料金!$C$9,ROUNDDOWN(($A66+B$6)*(約款料金!$D$14+$J$4)+約款料金!$D$13,0),IF(($A66+B$6)&gt;約款料金!$B$9,ROUNDDOWN(($A66+B$6)*(約款料金!$C$14+$J$4)+約款料金!$C$13,0),ROUNDDOWN(($A66+B$6)*(約款料金!$B$14+$J$4)+約款料金!$B$13,0)))</f>
        <v>24150</v>
      </c>
      <c r="C66" s="360">
        <f>IF(($A66+C$6)&gt;約款料金!$C$9,ROUNDDOWN(($A66+C$6)*(約款料金!$D$14+$J$4)+約款料金!$D$13,0),IF(($A66+C$6)&gt;約款料金!$B$9,ROUNDDOWN(($A66+C$6)*(約款料金!$C$14+$J$4)+約款料金!$C$13,0),ROUNDDOWN(($A66+C$6)*(約款料金!$B$14+$J$4)+約款料金!$B$13,0)))</f>
        <v>24191</v>
      </c>
      <c r="D66" s="360">
        <f>IF(($A66+D$6)&gt;約款料金!$C$9,ROUNDDOWN(($A66+D$6)*(約款料金!$D$14+$J$4)+約款料金!$D$13,0),IF(($A66+D$6)&gt;約款料金!$B$9,ROUNDDOWN(($A66+D$6)*(約款料金!$C$14+$J$4)+約款料金!$C$13,0),ROUNDDOWN(($A66+D$6)*(約款料金!$B$14+$J$4)+約款料金!$B$13,0)))</f>
        <v>24232</v>
      </c>
      <c r="E66" s="360">
        <f>IF(($A66+E$6)&gt;約款料金!$C$9,ROUNDDOWN(($A66+E$6)*(約款料金!$D$14+$J$4)+約款料金!$D$13,0),IF(($A66+E$6)&gt;約款料金!$B$9,ROUNDDOWN(($A66+E$6)*(約款料金!$C$14+$J$4)+約款料金!$C$13,0),ROUNDDOWN(($A66+E$6)*(約款料金!$B$14+$J$4)+約款料金!$B$13,0)))</f>
        <v>24273</v>
      </c>
      <c r="F66" s="360">
        <f>IF(($A66+F$6)&gt;約款料金!$C$9,ROUNDDOWN(($A66+F$6)*(約款料金!$D$14+$J$4)+約款料金!$D$13,0),IF(($A66+F$6)&gt;約款料金!$B$9,ROUNDDOWN(($A66+F$6)*(約款料金!$C$14+$J$4)+約款料金!$C$13,0),ROUNDDOWN(($A66+F$6)*(約款料金!$B$14+$J$4)+約款料金!$B$13,0)))</f>
        <v>24314</v>
      </c>
      <c r="G66" s="360">
        <f>IF(($A66+G$6)&gt;約款料金!$C$9,ROUNDDOWN(($A66+G$6)*(約款料金!$D$14+$J$4)+約款料金!$D$13,0),IF(($A66+G$6)&gt;約款料金!$B$9,ROUNDDOWN(($A66+G$6)*(約款料金!$C$14+$J$4)+約款料金!$C$13,0),ROUNDDOWN(($A66+G$6)*(約款料金!$B$14+$J$4)+約款料金!$B$13,0)))</f>
        <v>24354</v>
      </c>
      <c r="H66" s="360">
        <f>IF(($A66+H$6)&gt;約款料金!$C$9,ROUNDDOWN(($A66+H$6)*(約款料金!$D$14+$J$4)+約款料金!$D$13,0),IF(($A66+H$6)&gt;約款料金!$B$9,ROUNDDOWN(($A66+H$6)*(約款料金!$C$14+$J$4)+約款料金!$C$13,0),ROUNDDOWN(($A66+H$6)*(約款料金!$B$14+$J$4)+約款料金!$B$13,0)))</f>
        <v>24395</v>
      </c>
      <c r="I66" s="360">
        <f>IF(($A66+I$6)&gt;約款料金!$C$9,ROUNDDOWN(($A66+I$6)*(約款料金!$D$14+$J$4)+約款料金!$D$13,0),IF(($A66+I$6)&gt;約款料金!$B$9,ROUNDDOWN(($A66+I$6)*(約款料金!$C$14+$J$4)+約款料金!$C$13,0),ROUNDDOWN(($A66+I$6)*(約款料金!$B$14+$J$4)+約款料金!$B$13,0)))</f>
        <v>24436</v>
      </c>
      <c r="J66" s="360">
        <f>IF(($A66+J$6)&gt;約款料金!$C$9,ROUNDDOWN(($A66+J$6)*(約款料金!$D$14+$J$4)+約款料金!$D$13,0),IF(($A66+J$6)&gt;約款料金!$B$9,ROUNDDOWN(($A66+J$6)*(約款料金!$C$14+$J$4)+約款料金!$C$13,0),ROUNDDOWN(($A66+J$6)*(約款料金!$B$14+$J$4)+約款料金!$B$13,0)))</f>
        <v>24477</v>
      </c>
      <c r="K66" s="366">
        <f>IF(($A66+K$6)&gt;約款料金!$C$9,ROUNDDOWN(($A66+K$6)*(約款料金!$D$14+$J$4)+約款料金!$D$13,0),IF(($A66+K$6)&gt;約款料金!$B$9,ROUNDDOWN(($A66+K$6)*(約款料金!$C$14+$J$4)+約款料金!$C$13,0),ROUNDDOWN(($A66+K$6)*(約款料金!$B$14+$J$4)+約款料金!$B$13,0)))</f>
        <v>24518</v>
      </c>
    </row>
    <row r="67" spans="1:11">
      <c r="A67" s="380">
        <v>54</v>
      </c>
      <c r="B67" s="365">
        <f>IF(($A67+B$6)&gt;約款料金!$C$9,ROUNDDOWN(($A67+B$6)*(約款料金!$D$14+$J$4)+約款料金!$D$13,0),IF(($A67+B$6)&gt;約款料金!$B$9,ROUNDDOWN(($A67+B$6)*(約款料金!$C$14+$J$4)+約款料金!$C$13,0),ROUNDDOWN(($A67+B$6)*(約款料金!$B$14+$J$4)+約款料金!$B$13,0)))</f>
        <v>24559</v>
      </c>
      <c r="C67" s="360">
        <f>IF(($A67+C$6)&gt;約款料金!$C$9,ROUNDDOWN(($A67+C$6)*(約款料金!$D$14+$J$4)+約款料金!$D$13,0),IF(($A67+C$6)&gt;約款料金!$B$9,ROUNDDOWN(($A67+C$6)*(約款料金!$C$14+$J$4)+約款料金!$C$13,0),ROUNDDOWN(($A67+C$6)*(約款料金!$B$14+$J$4)+約款料金!$B$13,0)))</f>
        <v>24599</v>
      </c>
      <c r="D67" s="360">
        <f>IF(($A67+D$6)&gt;約款料金!$C$9,ROUNDDOWN(($A67+D$6)*(約款料金!$D$14+$J$4)+約款料金!$D$13,0),IF(($A67+D$6)&gt;約款料金!$B$9,ROUNDDOWN(($A67+D$6)*(約款料金!$C$14+$J$4)+約款料金!$C$13,0),ROUNDDOWN(($A67+D$6)*(約款料金!$B$14+$J$4)+約款料金!$B$13,0)))</f>
        <v>24640</v>
      </c>
      <c r="E67" s="360">
        <f>IF(($A67+E$6)&gt;約款料金!$C$9,ROUNDDOWN(($A67+E$6)*(約款料金!$D$14+$J$4)+約款料金!$D$13,0),IF(($A67+E$6)&gt;約款料金!$B$9,ROUNDDOWN(($A67+E$6)*(約款料金!$C$14+$J$4)+約款料金!$C$13,0),ROUNDDOWN(($A67+E$6)*(約款料金!$B$14+$J$4)+約款料金!$B$13,0)))</f>
        <v>24681</v>
      </c>
      <c r="F67" s="360">
        <f>IF(($A67+F$6)&gt;約款料金!$C$9,ROUNDDOWN(($A67+F$6)*(約款料金!$D$14+$J$4)+約款料金!$D$13,0),IF(($A67+F$6)&gt;約款料金!$B$9,ROUNDDOWN(($A67+F$6)*(約款料金!$C$14+$J$4)+約款料金!$C$13,0),ROUNDDOWN(($A67+F$6)*(約款料金!$B$14+$J$4)+約款料金!$B$13,0)))</f>
        <v>24722</v>
      </c>
      <c r="G67" s="360">
        <f>IF(($A67+G$6)&gt;約款料金!$C$9,ROUNDDOWN(($A67+G$6)*(約款料金!$D$14+$J$4)+約款料金!$D$13,0),IF(($A67+G$6)&gt;約款料金!$B$9,ROUNDDOWN(($A67+G$6)*(約款料金!$C$14+$J$4)+約款料金!$C$13,0),ROUNDDOWN(($A67+G$6)*(約款料金!$B$14+$J$4)+約款料金!$B$13,0)))</f>
        <v>24763</v>
      </c>
      <c r="H67" s="360">
        <f>IF(($A67+H$6)&gt;約款料金!$C$9,ROUNDDOWN(($A67+H$6)*(約款料金!$D$14+$J$4)+約款料金!$D$13,0),IF(($A67+H$6)&gt;約款料金!$B$9,ROUNDDOWN(($A67+H$6)*(約款料金!$C$14+$J$4)+約款料金!$C$13,0),ROUNDDOWN(($A67+H$6)*(約款料金!$B$14+$J$4)+約款料金!$B$13,0)))</f>
        <v>24803</v>
      </c>
      <c r="I67" s="360">
        <f>IF(($A67+I$6)&gt;約款料金!$C$9,ROUNDDOWN(($A67+I$6)*(約款料金!$D$14+$J$4)+約款料金!$D$13,0),IF(($A67+I$6)&gt;約款料金!$B$9,ROUNDDOWN(($A67+I$6)*(約款料金!$C$14+$J$4)+約款料金!$C$13,0),ROUNDDOWN(($A67+I$6)*(約款料金!$B$14+$J$4)+約款料金!$B$13,0)))</f>
        <v>24844</v>
      </c>
      <c r="J67" s="360">
        <f>IF(($A67+J$6)&gt;約款料金!$C$9,ROUNDDOWN(($A67+J$6)*(約款料金!$D$14+$J$4)+約款料金!$D$13,0),IF(($A67+J$6)&gt;約款料金!$B$9,ROUNDDOWN(($A67+J$6)*(約款料金!$C$14+$J$4)+約款料金!$C$13,0),ROUNDDOWN(($A67+J$6)*(約款料金!$B$14+$J$4)+約款料金!$B$13,0)))</f>
        <v>24885</v>
      </c>
      <c r="K67" s="366">
        <f>IF(($A67+K$6)&gt;約款料金!$C$9,ROUNDDOWN(($A67+K$6)*(約款料金!$D$14+$J$4)+約款料金!$D$13,0),IF(($A67+K$6)&gt;約款料金!$B$9,ROUNDDOWN(($A67+K$6)*(約款料金!$C$14+$J$4)+約款料金!$C$13,0),ROUNDDOWN(($A67+K$6)*(約款料金!$B$14+$J$4)+約款料金!$B$13,0)))</f>
        <v>24926</v>
      </c>
    </row>
    <row r="68" spans="1:11">
      <c r="A68" s="382">
        <v>55</v>
      </c>
      <c r="B68" s="371">
        <f>IF(($A68+B$6)&gt;約款料金!$C$9,ROUNDDOWN(($A68+B$6)*(約款料金!$D$14+$J$4)+約款料金!$D$13,0),IF(($A68+B$6)&gt;約款料金!$B$9,ROUNDDOWN(($A68+B$6)*(約款料金!$C$14+$J$4)+約款料金!$C$13,0),ROUNDDOWN(($A68+B$6)*(約款料金!$B$14+$J$4)+約款料金!$B$13,0)))</f>
        <v>24967</v>
      </c>
      <c r="C68" s="372">
        <f>IF(($A68+C$6)&gt;約款料金!$C$9,ROUNDDOWN(($A68+C$6)*(約款料金!$D$14+$J$4)+約款料金!$D$13,0),IF(($A68+C$6)&gt;約款料金!$B$9,ROUNDDOWN(($A68+C$6)*(約款料金!$C$14+$J$4)+約款料金!$C$13,0),ROUNDDOWN(($A68+C$6)*(約款料金!$B$14+$J$4)+約款料金!$B$13,0)))</f>
        <v>25008</v>
      </c>
      <c r="D68" s="372">
        <f>IF(($A68+D$6)&gt;約款料金!$C$9,ROUNDDOWN(($A68+D$6)*(約款料金!$D$14+$J$4)+約款料金!$D$13,0),IF(($A68+D$6)&gt;約款料金!$B$9,ROUNDDOWN(($A68+D$6)*(約款料金!$C$14+$J$4)+約款料金!$C$13,0),ROUNDDOWN(($A68+D$6)*(約款料金!$B$14+$J$4)+約款料金!$B$13,0)))</f>
        <v>25048</v>
      </c>
      <c r="E68" s="372">
        <f>IF(($A68+E$6)&gt;約款料金!$C$9,ROUNDDOWN(($A68+E$6)*(約款料金!$D$14+$J$4)+約款料金!$D$13,0),IF(($A68+E$6)&gt;約款料金!$B$9,ROUNDDOWN(($A68+E$6)*(約款料金!$C$14+$J$4)+約款料金!$C$13,0),ROUNDDOWN(($A68+E$6)*(約款料金!$B$14+$J$4)+約款料金!$B$13,0)))</f>
        <v>25089</v>
      </c>
      <c r="F68" s="372">
        <f>IF(($A68+F$6)&gt;約款料金!$C$9,ROUNDDOWN(($A68+F$6)*(約款料金!$D$14+$J$4)+約款料金!$D$13,0),IF(($A68+F$6)&gt;約款料金!$B$9,ROUNDDOWN(($A68+F$6)*(約款料金!$C$14+$J$4)+約款料金!$C$13,0),ROUNDDOWN(($A68+F$6)*(約款料金!$B$14+$J$4)+約款料金!$B$13,0)))</f>
        <v>25130</v>
      </c>
      <c r="G68" s="372">
        <f>IF(($A68+G$6)&gt;約款料金!$C$9,ROUNDDOWN(($A68+G$6)*(約款料金!$D$14+$J$4)+約款料金!$D$13,0),IF(($A68+G$6)&gt;約款料金!$B$9,ROUNDDOWN(($A68+G$6)*(約款料金!$C$14+$J$4)+約款料金!$C$13,0),ROUNDDOWN(($A68+G$6)*(約款料金!$B$14+$J$4)+約款料金!$B$13,0)))</f>
        <v>25171</v>
      </c>
      <c r="H68" s="372">
        <f>IF(($A68+H$6)&gt;約款料金!$C$9,ROUNDDOWN(($A68+H$6)*(約款料金!$D$14+$J$4)+約款料金!$D$13,0),IF(($A68+H$6)&gt;約款料金!$B$9,ROUNDDOWN(($A68+H$6)*(約款料金!$C$14+$J$4)+約款料金!$C$13,0),ROUNDDOWN(($A68+H$6)*(約款料金!$B$14+$J$4)+約款料金!$B$13,0)))</f>
        <v>25212</v>
      </c>
      <c r="I68" s="372">
        <f>IF(($A68+I$6)&gt;約款料金!$C$9,ROUNDDOWN(($A68+I$6)*(約款料金!$D$14+$J$4)+約款料金!$D$13,0),IF(($A68+I$6)&gt;約款料金!$B$9,ROUNDDOWN(($A68+I$6)*(約款料金!$C$14+$J$4)+約款料金!$C$13,0),ROUNDDOWN(($A68+I$6)*(約款料金!$B$14+$J$4)+約款料金!$B$13,0)))</f>
        <v>25252</v>
      </c>
      <c r="J68" s="372">
        <f>IF(($A68+J$6)&gt;約款料金!$C$9,ROUNDDOWN(($A68+J$6)*(約款料金!$D$14+$J$4)+約款料金!$D$13,0),IF(($A68+J$6)&gt;約款料金!$B$9,ROUNDDOWN(($A68+J$6)*(約款料金!$C$14+$J$4)+約款料金!$C$13,0),ROUNDDOWN(($A68+J$6)*(約款料金!$B$14+$J$4)+約款料金!$B$13,0)))</f>
        <v>25293</v>
      </c>
      <c r="K68" s="373">
        <f>IF(($A68+K$6)&gt;約款料金!$C$9,ROUNDDOWN(($A68+K$6)*(約款料金!$D$14+$J$4)+約款料金!$D$13,0),IF(($A68+K$6)&gt;約款料金!$B$9,ROUNDDOWN(($A68+K$6)*(約款料金!$C$14+$J$4)+約款料金!$C$13,0),ROUNDDOWN(($A68+K$6)*(約款料金!$B$14+$J$4)+約款料金!$B$13,0)))</f>
        <v>25334</v>
      </c>
    </row>
    <row r="69" spans="1:11">
      <c r="A69" s="379">
        <v>56</v>
      </c>
      <c r="B69" s="365">
        <f>IF(($A69+B$6)&gt;約款料金!$C$9,ROUNDDOWN(($A69+B$6)*(約款料金!$D$14+$J$4)+約款料金!$D$13,0),IF(($A69+B$6)&gt;約款料金!$B$9,ROUNDDOWN(($A69+B$6)*(約款料金!$C$14+$J$4)+約款料金!$C$13,0),ROUNDDOWN(($A69+B$6)*(約款料金!$B$14+$J$4)+約款料金!$B$13,0)))</f>
        <v>25375</v>
      </c>
      <c r="C69" s="360">
        <f>IF(($A69+C$6)&gt;約款料金!$C$9,ROUNDDOWN(($A69+C$6)*(約款料金!$D$14+$J$4)+約款料金!$D$13,0),IF(($A69+C$6)&gt;約款料金!$B$9,ROUNDDOWN(($A69+C$6)*(約款料金!$C$14+$J$4)+約款料金!$C$13,0),ROUNDDOWN(($A69+C$6)*(約款料金!$B$14+$J$4)+約款料金!$B$13,0)))</f>
        <v>25416</v>
      </c>
      <c r="D69" s="360">
        <f>IF(($A69+D$6)&gt;約款料金!$C$9,ROUNDDOWN(($A69+D$6)*(約款料金!$D$14+$J$4)+約款料金!$D$13,0),IF(($A69+D$6)&gt;約款料金!$B$9,ROUNDDOWN(($A69+D$6)*(約款料金!$C$14+$J$4)+約款料金!$C$13,0),ROUNDDOWN(($A69+D$6)*(約款料金!$B$14+$J$4)+約款料金!$B$13,0)))</f>
        <v>25457</v>
      </c>
      <c r="E69" s="360">
        <f>IF(($A69+E$6)&gt;約款料金!$C$9,ROUNDDOWN(($A69+E$6)*(約款料金!$D$14+$J$4)+約款料金!$D$13,0),IF(($A69+E$6)&gt;約款料金!$B$9,ROUNDDOWN(($A69+E$6)*(約款料金!$C$14+$J$4)+約款料金!$C$13,0),ROUNDDOWN(($A69+E$6)*(約款料金!$B$14+$J$4)+約款料金!$B$13,0)))</f>
        <v>25497</v>
      </c>
      <c r="F69" s="360">
        <f>IF(($A69+F$6)&gt;約款料金!$C$9,ROUNDDOWN(($A69+F$6)*(約款料金!$D$14+$J$4)+約款料金!$D$13,0),IF(($A69+F$6)&gt;約款料金!$B$9,ROUNDDOWN(($A69+F$6)*(約款料金!$C$14+$J$4)+約款料金!$C$13,0),ROUNDDOWN(($A69+F$6)*(約款料金!$B$14+$J$4)+約款料金!$B$13,0)))</f>
        <v>25538</v>
      </c>
      <c r="G69" s="360">
        <f>IF(($A69+G$6)&gt;約款料金!$C$9,ROUNDDOWN(($A69+G$6)*(約款料金!$D$14+$J$4)+約款料金!$D$13,0),IF(($A69+G$6)&gt;約款料金!$B$9,ROUNDDOWN(($A69+G$6)*(約款料金!$C$14+$J$4)+約款料金!$C$13,0),ROUNDDOWN(($A69+G$6)*(約款料金!$B$14+$J$4)+約款料金!$B$13,0)))</f>
        <v>25579</v>
      </c>
      <c r="H69" s="360">
        <f>IF(($A69+H$6)&gt;約款料金!$C$9,ROUNDDOWN(($A69+H$6)*(約款料金!$D$14+$J$4)+約款料金!$D$13,0),IF(($A69+H$6)&gt;約款料金!$B$9,ROUNDDOWN(($A69+H$6)*(約款料金!$C$14+$J$4)+約款料金!$C$13,0),ROUNDDOWN(($A69+H$6)*(約款料金!$B$14+$J$4)+約款料金!$B$13,0)))</f>
        <v>25620</v>
      </c>
      <c r="I69" s="360">
        <f>IF(($A69+I$6)&gt;約款料金!$C$9,ROUNDDOWN(($A69+I$6)*(約款料金!$D$14+$J$4)+約款料金!$D$13,0),IF(($A69+I$6)&gt;約款料金!$B$9,ROUNDDOWN(($A69+I$6)*(約款料金!$C$14+$J$4)+約款料金!$C$13,0),ROUNDDOWN(($A69+I$6)*(約款料金!$B$14+$J$4)+約款料金!$B$13,0)))</f>
        <v>25661</v>
      </c>
      <c r="J69" s="360">
        <f>IF(($A69+J$6)&gt;約款料金!$C$9,ROUNDDOWN(($A69+J$6)*(約款料金!$D$14+$J$4)+約款料金!$D$13,0),IF(($A69+J$6)&gt;約款料金!$B$9,ROUNDDOWN(($A69+J$6)*(約款料金!$C$14+$J$4)+約款料金!$C$13,0),ROUNDDOWN(($A69+J$6)*(約款料金!$B$14+$J$4)+約款料金!$B$13,0)))</f>
        <v>25701</v>
      </c>
      <c r="K69" s="366">
        <f>IF(($A69+K$6)&gt;約款料金!$C$9,ROUNDDOWN(($A69+K$6)*(約款料金!$D$14+$J$4)+約款料金!$D$13,0),IF(($A69+K$6)&gt;約款料金!$B$9,ROUNDDOWN(($A69+K$6)*(約款料金!$C$14+$J$4)+約款料金!$C$13,0),ROUNDDOWN(($A69+K$6)*(約款料金!$B$14+$J$4)+約款料金!$B$13,0)))</f>
        <v>25742</v>
      </c>
    </row>
    <row r="70" spans="1:11">
      <c r="A70" s="380">
        <v>57</v>
      </c>
      <c r="B70" s="365">
        <f>IF(($A70+B$6)&gt;約款料金!$C$9,ROUNDDOWN(($A70+B$6)*(約款料金!$D$14+$J$4)+約款料金!$D$13,0),IF(($A70+B$6)&gt;約款料金!$B$9,ROUNDDOWN(($A70+B$6)*(約款料金!$C$14+$J$4)+約款料金!$C$13,0),ROUNDDOWN(($A70+B$6)*(約款料金!$B$14+$J$4)+約款料金!$B$13,0)))</f>
        <v>25783</v>
      </c>
      <c r="C70" s="360">
        <f>IF(($A70+C$6)&gt;約款料金!$C$9,ROUNDDOWN(($A70+C$6)*(約款料金!$D$14+$J$4)+約款料金!$D$13,0),IF(($A70+C$6)&gt;約款料金!$B$9,ROUNDDOWN(($A70+C$6)*(約款料金!$C$14+$J$4)+約款料金!$C$13,0),ROUNDDOWN(($A70+C$6)*(約款料金!$B$14+$J$4)+約款料金!$B$13,0)))</f>
        <v>25824</v>
      </c>
      <c r="D70" s="360">
        <f>IF(($A70+D$6)&gt;約款料金!$C$9,ROUNDDOWN(($A70+D$6)*(約款料金!$D$14+$J$4)+約款料金!$D$13,0),IF(($A70+D$6)&gt;約款料金!$B$9,ROUNDDOWN(($A70+D$6)*(約款料金!$C$14+$J$4)+約款料金!$C$13,0),ROUNDDOWN(($A70+D$6)*(約款料金!$B$14+$J$4)+約款料金!$B$13,0)))</f>
        <v>25865</v>
      </c>
      <c r="E70" s="360">
        <f>IF(($A70+E$6)&gt;約款料金!$C$9,ROUNDDOWN(($A70+E$6)*(約款料金!$D$14+$J$4)+約款料金!$D$13,0),IF(($A70+E$6)&gt;約款料金!$B$9,ROUNDDOWN(($A70+E$6)*(約款料金!$C$14+$J$4)+約款料金!$C$13,0),ROUNDDOWN(($A70+E$6)*(約款料金!$B$14+$J$4)+約款料金!$B$13,0)))</f>
        <v>25906</v>
      </c>
      <c r="F70" s="360">
        <f>IF(($A70+F$6)&gt;約款料金!$C$9,ROUNDDOWN(($A70+F$6)*(約款料金!$D$14+$J$4)+約款料金!$D$13,0),IF(($A70+F$6)&gt;約款料金!$B$9,ROUNDDOWN(($A70+F$6)*(約款料金!$C$14+$J$4)+約款料金!$C$13,0),ROUNDDOWN(($A70+F$6)*(約款料金!$B$14+$J$4)+約款料金!$B$13,0)))</f>
        <v>25946</v>
      </c>
      <c r="G70" s="360">
        <f>IF(($A70+G$6)&gt;約款料金!$C$9,ROUNDDOWN(($A70+G$6)*(約款料金!$D$14+$J$4)+約款料金!$D$13,0),IF(($A70+G$6)&gt;約款料金!$B$9,ROUNDDOWN(($A70+G$6)*(約款料金!$C$14+$J$4)+約款料金!$C$13,0),ROUNDDOWN(($A70+G$6)*(約款料金!$B$14+$J$4)+約款料金!$B$13,0)))</f>
        <v>25987</v>
      </c>
      <c r="H70" s="360">
        <f>IF(($A70+H$6)&gt;約款料金!$C$9,ROUNDDOWN(($A70+H$6)*(約款料金!$D$14+$J$4)+約款料金!$D$13,0),IF(($A70+H$6)&gt;約款料金!$B$9,ROUNDDOWN(($A70+H$6)*(約款料金!$C$14+$J$4)+約款料金!$C$13,0),ROUNDDOWN(($A70+H$6)*(約款料金!$B$14+$J$4)+約款料金!$B$13,0)))</f>
        <v>26028</v>
      </c>
      <c r="I70" s="360">
        <f>IF(($A70+I$6)&gt;約款料金!$C$9,ROUNDDOWN(($A70+I$6)*(約款料金!$D$14+$J$4)+約款料金!$D$13,0),IF(($A70+I$6)&gt;約款料金!$B$9,ROUNDDOWN(($A70+I$6)*(約款料金!$C$14+$J$4)+約款料金!$C$13,0),ROUNDDOWN(($A70+I$6)*(約款料金!$B$14+$J$4)+約款料金!$B$13,0)))</f>
        <v>26069</v>
      </c>
      <c r="J70" s="360">
        <f>IF(($A70+J$6)&gt;約款料金!$C$9,ROUNDDOWN(($A70+J$6)*(約款料金!$D$14+$J$4)+約款料金!$D$13,0),IF(($A70+J$6)&gt;約款料金!$B$9,ROUNDDOWN(($A70+J$6)*(約款料金!$C$14+$J$4)+約款料金!$C$13,0),ROUNDDOWN(($A70+J$6)*(約款料金!$B$14+$J$4)+約款料金!$B$13,0)))</f>
        <v>26110</v>
      </c>
      <c r="K70" s="366">
        <f>IF(($A70+K$6)&gt;約款料金!$C$9,ROUNDDOWN(($A70+K$6)*(約款料金!$D$14+$J$4)+約款料金!$D$13,0),IF(($A70+K$6)&gt;約款料金!$B$9,ROUNDDOWN(($A70+K$6)*(約款料金!$C$14+$J$4)+約款料金!$C$13,0),ROUNDDOWN(($A70+K$6)*(約款料金!$B$14+$J$4)+約款料金!$B$13,0)))</f>
        <v>26150</v>
      </c>
    </row>
    <row r="71" spans="1:11">
      <c r="A71" s="380">
        <v>58</v>
      </c>
      <c r="B71" s="365">
        <f>IF(($A71+B$6)&gt;約款料金!$C$9,ROUNDDOWN(($A71+B$6)*(約款料金!$D$14+$J$4)+約款料金!$D$13,0),IF(($A71+B$6)&gt;約款料金!$B$9,ROUNDDOWN(($A71+B$6)*(約款料金!$C$14+$J$4)+約款料金!$C$13,0),ROUNDDOWN(($A71+B$6)*(約款料金!$B$14+$J$4)+約款料金!$B$13,0)))</f>
        <v>26191</v>
      </c>
      <c r="C71" s="360">
        <f>IF(($A71+C$6)&gt;約款料金!$C$9,ROUNDDOWN(($A71+C$6)*(約款料金!$D$14+$J$4)+約款料金!$D$13,0),IF(($A71+C$6)&gt;約款料金!$B$9,ROUNDDOWN(($A71+C$6)*(約款料金!$C$14+$J$4)+約款料金!$C$13,0),ROUNDDOWN(($A71+C$6)*(約款料金!$B$14+$J$4)+約款料金!$B$13,0)))</f>
        <v>26232</v>
      </c>
      <c r="D71" s="360">
        <f>IF(($A71+D$6)&gt;約款料金!$C$9,ROUNDDOWN(($A71+D$6)*(約款料金!$D$14+$J$4)+約款料金!$D$13,0),IF(($A71+D$6)&gt;約款料金!$B$9,ROUNDDOWN(($A71+D$6)*(約款料金!$C$14+$J$4)+約款料金!$C$13,0),ROUNDDOWN(($A71+D$6)*(約款料金!$B$14+$J$4)+約款料金!$B$13,0)))</f>
        <v>26273</v>
      </c>
      <c r="E71" s="360">
        <f>IF(($A71+E$6)&gt;約款料金!$C$9,ROUNDDOWN(($A71+E$6)*(約款料金!$D$14+$J$4)+約款料金!$D$13,0),IF(($A71+E$6)&gt;約款料金!$B$9,ROUNDDOWN(($A71+E$6)*(約款料金!$C$14+$J$4)+約款料金!$C$13,0),ROUNDDOWN(($A71+E$6)*(約款料金!$B$14+$J$4)+約款料金!$B$13,0)))</f>
        <v>26314</v>
      </c>
      <c r="F71" s="360">
        <f>IF(($A71+F$6)&gt;約款料金!$C$9,ROUNDDOWN(($A71+F$6)*(約款料金!$D$14+$J$4)+約款料金!$D$13,0),IF(($A71+F$6)&gt;約款料金!$B$9,ROUNDDOWN(($A71+F$6)*(約款料金!$C$14+$J$4)+約款料金!$C$13,0),ROUNDDOWN(($A71+F$6)*(約款料金!$B$14+$J$4)+約款料金!$B$13,0)))</f>
        <v>26355</v>
      </c>
      <c r="G71" s="360">
        <f>IF(($A71+G$6)&gt;約款料金!$C$9,ROUNDDOWN(($A71+G$6)*(約款料金!$D$14+$J$4)+約款料金!$D$13,0),IF(($A71+G$6)&gt;約款料金!$B$9,ROUNDDOWN(($A71+G$6)*(約款料金!$C$14+$J$4)+約款料金!$C$13,0),ROUNDDOWN(($A71+G$6)*(約款料金!$B$14+$J$4)+約款料金!$B$13,0)))</f>
        <v>26395</v>
      </c>
      <c r="H71" s="360">
        <f>IF(($A71+H$6)&gt;約款料金!$C$9,ROUNDDOWN(($A71+H$6)*(約款料金!$D$14+$J$4)+約款料金!$D$13,0),IF(($A71+H$6)&gt;約款料金!$B$9,ROUNDDOWN(($A71+H$6)*(約款料金!$C$14+$J$4)+約款料金!$C$13,0),ROUNDDOWN(($A71+H$6)*(約款料金!$B$14+$J$4)+約款料金!$B$13,0)))</f>
        <v>26436</v>
      </c>
      <c r="I71" s="360">
        <f>IF(($A71+I$6)&gt;約款料金!$C$9,ROUNDDOWN(($A71+I$6)*(約款料金!$D$14+$J$4)+約款料金!$D$13,0),IF(($A71+I$6)&gt;約款料金!$B$9,ROUNDDOWN(($A71+I$6)*(約款料金!$C$14+$J$4)+約款料金!$C$13,0),ROUNDDOWN(($A71+I$6)*(約款料金!$B$14+$J$4)+約款料金!$B$13,0)))</f>
        <v>26477</v>
      </c>
      <c r="J71" s="360">
        <f>IF(($A71+J$6)&gt;約款料金!$C$9,ROUNDDOWN(($A71+J$6)*(約款料金!$D$14+$J$4)+約款料金!$D$13,0),IF(($A71+J$6)&gt;約款料金!$B$9,ROUNDDOWN(($A71+J$6)*(約款料金!$C$14+$J$4)+約款料金!$C$13,0),ROUNDDOWN(($A71+J$6)*(約款料金!$B$14+$J$4)+約款料金!$B$13,0)))</f>
        <v>26518</v>
      </c>
      <c r="K71" s="366">
        <f>IF(($A71+K$6)&gt;約款料金!$C$9,ROUNDDOWN(($A71+K$6)*(約款料金!$D$14+$J$4)+約款料金!$D$13,0),IF(($A71+K$6)&gt;約款料金!$B$9,ROUNDDOWN(($A71+K$6)*(約款料金!$C$14+$J$4)+約款料金!$C$13,0),ROUNDDOWN(($A71+K$6)*(約款料金!$B$14+$J$4)+約款料金!$B$13,0)))</f>
        <v>26559</v>
      </c>
    </row>
    <row r="72" spans="1:11">
      <c r="A72" s="380">
        <v>59</v>
      </c>
      <c r="B72" s="365">
        <f>IF(($A72+B$6)&gt;約款料金!$C$9,ROUNDDOWN(($A72+B$6)*(約款料金!$D$14+$J$4)+約款料金!$D$13,0),IF(($A72+B$6)&gt;約款料金!$B$9,ROUNDDOWN(($A72+B$6)*(約款料金!$C$14+$J$4)+約款料金!$C$13,0),ROUNDDOWN(($A72+B$6)*(約款料金!$B$14+$J$4)+約款料金!$B$13,0)))</f>
        <v>26600</v>
      </c>
      <c r="C72" s="360">
        <f>IF(($A72+C$6)&gt;約款料金!$C$9,ROUNDDOWN(($A72+C$6)*(約款料金!$D$14+$J$4)+約款料金!$D$13,0),IF(($A72+C$6)&gt;約款料金!$B$9,ROUNDDOWN(($A72+C$6)*(約款料金!$C$14+$J$4)+約款料金!$C$13,0),ROUNDDOWN(($A72+C$6)*(約款料金!$B$14+$J$4)+約款料金!$B$13,0)))</f>
        <v>26640</v>
      </c>
      <c r="D72" s="360">
        <f>IF(($A72+D$6)&gt;約款料金!$C$9,ROUNDDOWN(($A72+D$6)*(約款料金!$D$14+$J$4)+約款料金!$D$13,0),IF(($A72+D$6)&gt;約款料金!$B$9,ROUNDDOWN(($A72+D$6)*(約款料金!$C$14+$J$4)+約款料金!$C$13,0),ROUNDDOWN(($A72+D$6)*(約款料金!$B$14+$J$4)+約款料金!$B$13,0)))</f>
        <v>26681</v>
      </c>
      <c r="E72" s="360">
        <f>IF(($A72+E$6)&gt;約款料金!$C$9,ROUNDDOWN(($A72+E$6)*(約款料金!$D$14+$J$4)+約款料金!$D$13,0),IF(($A72+E$6)&gt;約款料金!$B$9,ROUNDDOWN(($A72+E$6)*(約款料金!$C$14+$J$4)+約款料金!$C$13,0),ROUNDDOWN(($A72+E$6)*(約款料金!$B$14+$J$4)+約款料金!$B$13,0)))</f>
        <v>26722</v>
      </c>
      <c r="F72" s="360">
        <f>IF(($A72+F$6)&gt;約款料金!$C$9,ROUNDDOWN(($A72+F$6)*(約款料金!$D$14+$J$4)+約款料金!$D$13,0),IF(($A72+F$6)&gt;約款料金!$B$9,ROUNDDOWN(($A72+F$6)*(約款料金!$C$14+$J$4)+約款料金!$C$13,0),ROUNDDOWN(($A72+F$6)*(約款料金!$B$14+$J$4)+約款料金!$B$13,0)))</f>
        <v>26763</v>
      </c>
      <c r="G72" s="360">
        <f>IF(($A72+G$6)&gt;約款料金!$C$9,ROUNDDOWN(($A72+G$6)*(約款料金!$D$14+$J$4)+約款料金!$D$13,0),IF(($A72+G$6)&gt;約款料金!$B$9,ROUNDDOWN(($A72+G$6)*(約款料金!$C$14+$J$4)+約款料金!$C$13,0),ROUNDDOWN(($A72+G$6)*(約款料金!$B$14+$J$4)+約款料金!$B$13,0)))</f>
        <v>26804</v>
      </c>
      <c r="H72" s="360">
        <f>IF(($A72+H$6)&gt;約款料金!$C$9,ROUNDDOWN(($A72+H$6)*(約款料金!$D$14+$J$4)+約款料金!$D$13,0),IF(($A72+H$6)&gt;約款料金!$B$9,ROUNDDOWN(($A72+H$6)*(約款料金!$C$14+$J$4)+約款料金!$C$13,0),ROUNDDOWN(($A72+H$6)*(約款料金!$B$14+$J$4)+約款料金!$B$13,0)))</f>
        <v>26844</v>
      </c>
      <c r="I72" s="360">
        <f>IF(($A72+I$6)&gt;約款料金!$C$9,ROUNDDOWN(($A72+I$6)*(約款料金!$D$14+$J$4)+約款料金!$D$13,0),IF(($A72+I$6)&gt;約款料金!$B$9,ROUNDDOWN(($A72+I$6)*(約款料金!$C$14+$J$4)+約款料金!$C$13,0),ROUNDDOWN(($A72+I$6)*(約款料金!$B$14+$J$4)+約款料金!$B$13,0)))</f>
        <v>26885</v>
      </c>
      <c r="J72" s="360">
        <f>IF(($A72+J$6)&gt;約款料金!$C$9,ROUNDDOWN(($A72+J$6)*(約款料金!$D$14+$J$4)+約款料金!$D$13,0),IF(($A72+J$6)&gt;約款料金!$B$9,ROUNDDOWN(($A72+J$6)*(約款料金!$C$14+$J$4)+約款料金!$C$13,0),ROUNDDOWN(($A72+J$6)*(約款料金!$B$14+$J$4)+約款料金!$B$13,0)))</f>
        <v>26926</v>
      </c>
      <c r="K72" s="366">
        <f>IF(($A72+K$6)&gt;約款料金!$C$9,ROUNDDOWN(($A72+K$6)*(約款料金!$D$14+$J$4)+約款料金!$D$13,0),IF(($A72+K$6)&gt;約款料金!$B$9,ROUNDDOWN(($A72+K$6)*(約款料金!$C$14+$J$4)+約款料金!$C$13,0),ROUNDDOWN(($A72+K$6)*(約款料金!$B$14+$J$4)+約款料金!$B$13,0)))</f>
        <v>26967</v>
      </c>
    </row>
    <row r="73" spans="1:11">
      <c r="A73" s="382">
        <v>60</v>
      </c>
      <c r="B73" s="371">
        <f>IF(($A73+B$6)&gt;約款料金!$C$9,ROUNDDOWN(($A73+B$6)*(約款料金!$D$14+$J$4)+約款料金!$D$13,0),IF(($A73+B$6)&gt;約款料金!$B$9,ROUNDDOWN(($A73+B$6)*(約款料金!$C$14+$J$4)+約款料金!$C$13,0),ROUNDDOWN(($A73+B$6)*(約款料金!$B$14+$J$4)+約款料金!$B$13,0)))</f>
        <v>27008</v>
      </c>
      <c r="C73" s="372">
        <f>IF(($A73+C$6)&gt;約款料金!$C$9,ROUNDDOWN(($A73+C$6)*(約款料金!$D$14+$J$4)+約款料金!$D$13,0),IF(($A73+C$6)&gt;約款料金!$B$9,ROUNDDOWN(($A73+C$6)*(約款料金!$C$14+$J$4)+約款料金!$C$13,0),ROUNDDOWN(($A73+C$6)*(約款料金!$B$14+$J$4)+約款料金!$B$13,0)))</f>
        <v>27049</v>
      </c>
      <c r="D73" s="372">
        <f>IF(($A73+D$6)&gt;約款料金!$C$9,ROUNDDOWN(($A73+D$6)*(約款料金!$D$14+$J$4)+約款料金!$D$13,0),IF(($A73+D$6)&gt;約款料金!$B$9,ROUNDDOWN(($A73+D$6)*(約款料金!$C$14+$J$4)+約款料金!$C$13,0),ROUNDDOWN(($A73+D$6)*(約款料金!$B$14+$J$4)+約款料金!$B$13,0)))</f>
        <v>27089</v>
      </c>
      <c r="E73" s="372">
        <f>IF(($A73+E$6)&gt;約款料金!$C$9,ROUNDDOWN(($A73+E$6)*(約款料金!$D$14+$J$4)+約款料金!$D$13,0),IF(($A73+E$6)&gt;約款料金!$B$9,ROUNDDOWN(($A73+E$6)*(約款料金!$C$14+$J$4)+約款料金!$C$13,0),ROUNDDOWN(($A73+E$6)*(約款料金!$B$14+$J$4)+約款料金!$B$13,0)))</f>
        <v>27130</v>
      </c>
      <c r="F73" s="372">
        <f>IF(($A73+F$6)&gt;約款料金!$C$9,ROUNDDOWN(($A73+F$6)*(約款料金!$D$14+$J$4)+約款料金!$D$13,0),IF(($A73+F$6)&gt;約款料金!$B$9,ROUNDDOWN(($A73+F$6)*(約款料金!$C$14+$J$4)+約款料金!$C$13,0),ROUNDDOWN(($A73+F$6)*(約款料金!$B$14+$J$4)+約款料金!$B$13,0)))</f>
        <v>27171</v>
      </c>
      <c r="G73" s="372">
        <f>IF(($A73+G$6)&gt;約款料金!$C$9,ROUNDDOWN(($A73+G$6)*(約款料金!$D$14+$J$4)+約款料金!$D$13,0),IF(($A73+G$6)&gt;約款料金!$B$9,ROUNDDOWN(($A73+G$6)*(約款料金!$C$14+$J$4)+約款料金!$C$13,0),ROUNDDOWN(($A73+G$6)*(約款料金!$B$14+$J$4)+約款料金!$B$13,0)))</f>
        <v>27212</v>
      </c>
      <c r="H73" s="372">
        <f>IF(($A73+H$6)&gt;約款料金!$C$9,ROUNDDOWN(($A73+H$6)*(約款料金!$D$14+$J$4)+約款料金!$D$13,0),IF(($A73+H$6)&gt;約款料金!$B$9,ROUNDDOWN(($A73+H$6)*(約款料金!$C$14+$J$4)+約款料金!$C$13,0),ROUNDDOWN(($A73+H$6)*(約款料金!$B$14+$J$4)+約款料金!$B$13,0)))</f>
        <v>27253</v>
      </c>
      <c r="I73" s="372">
        <f>IF(($A73+I$6)&gt;約款料金!$C$9,ROUNDDOWN(($A73+I$6)*(約款料金!$D$14+$J$4)+約款料金!$D$13,0),IF(($A73+I$6)&gt;約款料金!$B$9,ROUNDDOWN(($A73+I$6)*(約款料金!$C$14+$J$4)+約款料金!$C$13,0),ROUNDDOWN(($A73+I$6)*(約款料金!$B$14+$J$4)+約款料金!$B$13,0)))</f>
        <v>27293</v>
      </c>
      <c r="J73" s="372">
        <f>IF(($A73+J$6)&gt;約款料金!$C$9,ROUNDDOWN(($A73+J$6)*(約款料金!$D$14+$J$4)+約款料金!$D$13,0),IF(($A73+J$6)&gt;約款料金!$B$9,ROUNDDOWN(($A73+J$6)*(約款料金!$C$14+$J$4)+約款料金!$C$13,0),ROUNDDOWN(($A73+J$6)*(約款料金!$B$14+$J$4)+約款料金!$B$13,0)))</f>
        <v>27334</v>
      </c>
      <c r="K73" s="373">
        <f>IF(($A73+K$6)&gt;約款料金!$C$9,ROUNDDOWN(($A73+K$6)*(約款料金!$D$14+$J$4)+約款料金!$D$13,0),IF(($A73+K$6)&gt;約款料金!$B$9,ROUNDDOWN(($A73+K$6)*(約款料金!$C$14+$J$4)+約款料金!$C$13,0),ROUNDDOWN(($A73+K$6)*(約款料金!$B$14+$J$4)+約款料金!$B$13,0)))</f>
        <v>27375</v>
      </c>
    </row>
    <row r="74" spans="1:11">
      <c r="A74" s="379">
        <v>61</v>
      </c>
      <c r="B74" s="365">
        <f>IF(($A74+B$6)&gt;約款料金!$C$9,ROUNDDOWN(($A74+B$6)*(約款料金!$D$14+$J$4)+約款料金!$D$13,0),IF(($A74+B$6)&gt;約款料金!$B$9,ROUNDDOWN(($A74+B$6)*(約款料金!$C$14+$J$4)+約款料金!$C$13,0),ROUNDDOWN(($A74+B$6)*(約款料金!$B$14+$J$4)+約款料金!$B$13,0)))</f>
        <v>27416</v>
      </c>
      <c r="C74" s="360">
        <f>IF(($A74+C$6)&gt;約款料金!$C$9,ROUNDDOWN(($A74+C$6)*(約款料金!$D$14+$J$4)+約款料金!$D$13,0),IF(($A74+C$6)&gt;約款料金!$B$9,ROUNDDOWN(($A74+C$6)*(約款料金!$C$14+$J$4)+約款料金!$C$13,0),ROUNDDOWN(($A74+C$6)*(約款料金!$B$14+$J$4)+約款料金!$B$13,0)))</f>
        <v>27457</v>
      </c>
      <c r="D74" s="360">
        <f>IF(($A74+D$6)&gt;約款料金!$C$9,ROUNDDOWN(($A74+D$6)*(約款料金!$D$14+$J$4)+約款料金!$D$13,0),IF(($A74+D$6)&gt;約款料金!$B$9,ROUNDDOWN(($A74+D$6)*(約款料金!$C$14+$J$4)+約款料金!$C$13,0),ROUNDDOWN(($A74+D$6)*(約款料金!$B$14+$J$4)+約款料金!$B$13,0)))</f>
        <v>27498</v>
      </c>
      <c r="E74" s="360">
        <f>IF(($A74+E$6)&gt;約款料金!$C$9,ROUNDDOWN(($A74+E$6)*(約款料金!$D$14+$J$4)+約款料金!$D$13,0),IF(($A74+E$6)&gt;約款料金!$B$9,ROUNDDOWN(($A74+E$6)*(約款料金!$C$14+$J$4)+約款料金!$C$13,0),ROUNDDOWN(($A74+E$6)*(約款料金!$B$14+$J$4)+約款料金!$B$13,0)))</f>
        <v>27538</v>
      </c>
      <c r="F74" s="360">
        <f>IF(($A74+F$6)&gt;約款料金!$C$9,ROUNDDOWN(($A74+F$6)*(約款料金!$D$14+$J$4)+約款料金!$D$13,0),IF(($A74+F$6)&gt;約款料金!$B$9,ROUNDDOWN(($A74+F$6)*(約款料金!$C$14+$J$4)+約款料金!$C$13,0),ROUNDDOWN(($A74+F$6)*(約款料金!$B$14+$J$4)+約款料金!$B$13,0)))</f>
        <v>27579</v>
      </c>
      <c r="G74" s="360">
        <f>IF(($A74+G$6)&gt;約款料金!$C$9,ROUNDDOWN(($A74+G$6)*(約款料金!$D$14+$J$4)+約款料金!$D$13,0),IF(($A74+G$6)&gt;約款料金!$B$9,ROUNDDOWN(($A74+G$6)*(約款料金!$C$14+$J$4)+約款料金!$C$13,0),ROUNDDOWN(($A74+G$6)*(約款料金!$B$14+$J$4)+約款料金!$B$13,0)))</f>
        <v>27620</v>
      </c>
      <c r="H74" s="360">
        <f>IF(($A74+H$6)&gt;約款料金!$C$9,ROUNDDOWN(($A74+H$6)*(約款料金!$D$14+$J$4)+約款料金!$D$13,0),IF(($A74+H$6)&gt;約款料金!$B$9,ROUNDDOWN(($A74+H$6)*(約款料金!$C$14+$J$4)+約款料金!$C$13,0),ROUNDDOWN(($A74+H$6)*(約款料金!$B$14+$J$4)+約款料金!$B$13,0)))</f>
        <v>27661</v>
      </c>
      <c r="I74" s="360">
        <f>IF(($A74+I$6)&gt;約款料金!$C$9,ROUNDDOWN(($A74+I$6)*(約款料金!$D$14+$J$4)+約款料金!$D$13,0),IF(($A74+I$6)&gt;約款料金!$B$9,ROUNDDOWN(($A74+I$6)*(約款料金!$C$14+$J$4)+約款料金!$C$13,0),ROUNDDOWN(($A74+I$6)*(約款料金!$B$14+$J$4)+約款料金!$B$13,0)))</f>
        <v>27702</v>
      </c>
      <c r="J74" s="360">
        <f>IF(($A74+J$6)&gt;約款料金!$C$9,ROUNDDOWN(($A74+J$6)*(約款料金!$D$14+$J$4)+約款料金!$D$13,0),IF(($A74+J$6)&gt;約款料金!$B$9,ROUNDDOWN(($A74+J$6)*(約款料金!$C$14+$J$4)+約款料金!$C$13,0),ROUNDDOWN(($A74+J$6)*(約款料金!$B$14+$J$4)+約款料金!$B$13,0)))</f>
        <v>27742</v>
      </c>
      <c r="K74" s="366">
        <f>IF(($A74+K$6)&gt;約款料金!$C$9,ROUNDDOWN(($A74+K$6)*(約款料金!$D$14+$J$4)+約款料金!$D$13,0),IF(($A74+K$6)&gt;約款料金!$B$9,ROUNDDOWN(($A74+K$6)*(約款料金!$C$14+$J$4)+約款料金!$C$13,0),ROUNDDOWN(($A74+K$6)*(約款料金!$B$14+$J$4)+約款料金!$B$13,0)))</f>
        <v>27783</v>
      </c>
    </row>
    <row r="75" spans="1:11">
      <c r="A75" s="380">
        <v>62</v>
      </c>
      <c r="B75" s="365">
        <f>IF(($A75+B$6)&gt;約款料金!$C$9,ROUNDDOWN(($A75+B$6)*(約款料金!$D$14+$J$4)+約款料金!$D$13,0),IF(($A75+B$6)&gt;約款料金!$B$9,ROUNDDOWN(($A75+B$6)*(約款料金!$C$14+$J$4)+約款料金!$C$13,0),ROUNDDOWN(($A75+B$6)*(約款料金!$B$14+$J$4)+約款料金!$B$13,0)))</f>
        <v>27824</v>
      </c>
      <c r="C75" s="360">
        <f>IF(($A75+C$6)&gt;約款料金!$C$9,ROUNDDOWN(($A75+C$6)*(約款料金!$D$14+$J$4)+約款料金!$D$13,0),IF(($A75+C$6)&gt;約款料金!$B$9,ROUNDDOWN(($A75+C$6)*(約款料金!$C$14+$J$4)+約款料金!$C$13,0),ROUNDDOWN(($A75+C$6)*(約款料金!$B$14+$J$4)+約款料金!$B$13,0)))</f>
        <v>27865</v>
      </c>
      <c r="D75" s="360">
        <f>IF(($A75+D$6)&gt;約款料金!$C$9,ROUNDDOWN(($A75+D$6)*(約款料金!$D$14+$J$4)+約款料金!$D$13,0),IF(($A75+D$6)&gt;約款料金!$B$9,ROUNDDOWN(($A75+D$6)*(約款料金!$C$14+$J$4)+約款料金!$C$13,0),ROUNDDOWN(($A75+D$6)*(約款料金!$B$14+$J$4)+約款料金!$B$13,0)))</f>
        <v>27906</v>
      </c>
      <c r="E75" s="360">
        <f>IF(($A75+E$6)&gt;約款料金!$C$9,ROUNDDOWN(($A75+E$6)*(約款料金!$D$14+$J$4)+約款料金!$D$13,0),IF(($A75+E$6)&gt;約款料金!$B$9,ROUNDDOWN(($A75+E$6)*(約款料金!$C$14+$J$4)+約款料金!$C$13,0),ROUNDDOWN(($A75+E$6)*(約款料金!$B$14+$J$4)+約款料金!$B$13,0)))</f>
        <v>27947</v>
      </c>
      <c r="F75" s="360">
        <f>IF(($A75+F$6)&gt;約款料金!$C$9,ROUNDDOWN(($A75+F$6)*(約款料金!$D$14+$J$4)+約款料金!$D$13,0),IF(($A75+F$6)&gt;約款料金!$B$9,ROUNDDOWN(($A75+F$6)*(約款料金!$C$14+$J$4)+約款料金!$C$13,0),ROUNDDOWN(($A75+F$6)*(約款料金!$B$14+$J$4)+約款料金!$B$13,0)))</f>
        <v>27987</v>
      </c>
      <c r="G75" s="360">
        <f>IF(($A75+G$6)&gt;約款料金!$C$9,ROUNDDOWN(($A75+G$6)*(約款料金!$D$14+$J$4)+約款料金!$D$13,0),IF(($A75+G$6)&gt;約款料金!$B$9,ROUNDDOWN(($A75+G$6)*(約款料金!$C$14+$J$4)+約款料金!$C$13,0),ROUNDDOWN(($A75+G$6)*(約款料金!$B$14+$J$4)+約款料金!$B$13,0)))</f>
        <v>28028</v>
      </c>
      <c r="H75" s="360">
        <f>IF(($A75+H$6)&gt;約款料金!$C$9,ROUNDDOWN(($A75+H$6)*(約款料金!$D$14+$J$4)+約款料金!$D$13,0),IF(($A75+H$6)&gt;約款料金!$B$9,ROUNDDOWN(($A75+H$6)*(約款料金!$C$14+$J$4)+約款料金!$C$13,0),ROUNDDOWN(($A75+H$6)*(約款料金!$B$14+$J$4)+約款料金!$B$13,0)))</f>
        <v>28069</v>
      </c>
      <c r="I75" s="360">
        <f>IF(($A75+I$6)&gt;約款料金!$C$9,ROUNDDOWN(($A75+I$6)*(約款料金!$D$14+$J$4)+約款料金!$D$13,0),IF(($A75+I$6)&gt;約款料金!$B$9,ROUNDDOWN(($A75+I$6)*(約款料金!$C$14+$J$4)+約款料金!$C$13,0),ROUNDDOWN(($A75+I$6)*(約款料金!$B$14+$J$4)+約款料金!$B$13,0)))</f>
        <v>28110</v>
      </c>
      <c r="J75" s="360">
        <f>IF(($A75+J$6)&gt;約款料金!$C$9,ROUNDDOWN(($A75+J$6)*(約款料金!$D$14+$J$4)+約款料金!$D$13,0),IF(($A75+J$6)&gt;約款料金!$B$9,ROUNDDOWN(($A75+J$6)*(約款料金!$C$14+$J$4)+約款料金!$C$13,0),ROUNDDOWN(($A75+J$6)*(約款料金!$B$14+$J$4)+約款料金!$B$13,0)))</f>
        <v>28151</v>
      </c>
      <c r="K75" s="366">
        <f>IF(($A75+K$6)&gt;約款料金!$C$9,ROUNDDOWN(($A75+K$6)*(約款料金!$D$14+$J$4)+約款料金!$D$13,0),IF(($A75+K$6)&gt;約款料金!$B$9,ROUNDDOWN(($A75+K$6)*(約款料金!$C$14+$J$4)+約款料金!$C$13,0),ROUNDDOWN(($A75+K$6)*(約款料金!$B$14+$J$4)+約款料金!$B$13,0)))</f>
        <v>28191</v>
      </c>
    </row>
    <row r="76" spans="1:11">
      <c r="A76" s="380">
        <v>63</v>
      </c>
      <c r="B76" s="365">
        <f>IF(($A76+B$6)&gt;約款料金!$C$9,ROUNDDOWN(($A76+B$6)*(約款料金!$D$14+$J$4)+約款料金!$D$13,0),IF(($A76+B$6)&gt;約款料金!$B$9,ROUNDDOWN(($A76+B$6)*(約款料金!$C$14+$J$4)+約款料金!$C$13,0),ROUNDDOWN(($A76+B$6)*(約款料金!$B$14+$J$4)+約款料金!$B$13,0)))</f>
        <v>28232</v>
      </c>
      <c r="C76" s="360">
        <f>IF(($A76+C$6)&gt;約款料金!$C$9,ROUNDDOWN(($A76+C$6)*(約款料金!$D$14+$J$4)+約款料金!$D$13,0),IF(($A76+C$6)&gt;約款料金!$B$9,ROUNDDOWN(($A76+C$6)*(約款料金!$C$14+$J$4)+約款料金!$C$13,0),ROUNDDOWN(($A76+C$6)*(約款料金!$B$14+$J$4)+約款料金!$B$13,0)))</f>
        <v>28273</v>
      </c>
      <c r="D76" s="360">
        <f>IF(($A76+D$6)&gt;約款料金!$C$9,ROUNDDOWN(($A76+D$6)*(約款料金!$D$14+$J$4)+約款料金!$D$13,0),IF(($A76+D$6)&gt;約款料金!$B$9,ROUNDDOWN(($A76+D$6)*(約款料金!$C$14+$J$4)+約款料金!$C$13,0),ROUNDDOWN(($A76+D$6)*(約款料金!$B$14+$J$4)+約款料金!$B$13,0)))</f>
        <v>28314</v>
      </c>
      <c r="E76" s="360">
        <f>IF(($A76+E$6)&gt;約款料金!$C$9,ROUNDDOWN(($A76+E$6)*(約款料金!$D$14+$J$4)+約款料金!$D$13,0),IF(($A76+E$6)&gt;約款料金!$B$9,ROUNDDOWN(($A76+E$6)*(約款料金!$C$14+$J$4)+約款料金!$C$13,0),ROUNDDOWN(($A76+E$6)*(約款料金!$B$14+$J$4)+約款料金!$B$13,0)))</f>
        <v>28355</v>
      </c>
      <c r="F76" s="360">
        <f>IF(($A76+F$6)&gt;約款料金!$C$9,ROUNDDOWN(($A76+F$6)*(約款料金!$D$14+$J$4)+約款料金!$D$13,0),IF(($A76+F$6)&gt;約款料金!$B$9,ROUNDDOWN(($A76+F$6)*(約款料金!$C$14+$J$4)+約款料金!$C$13,0),ROUNDDOWN(($A76+F$6)*(約款料金!$B$14+$J$4)+約款料金!$B$13,0)))</f>
        <v>28396</v>
      </c>
      <c r="G76" s="360">
        <f>IF(($A76+G$6)&gt;約款料金!$C$9,ROUNDDOWN(($A76+G$6)*(約款料金!$D$14+$J$4)+約款料金!$D$13,0),IF(($A76+G$6)&gt;約款料金!$B$9,ROUNDDOWN(($A76+G$6)*(約款料金!$C$14+$J$4)+約款料金!$C$13,0),ROUNDDOWN(($A76+G$6)*(約款料金!$B$14+$J$4)+約款料金!$B$13,0)))</f>
        <v>28436</v>
      </c>
      <c r="H76" s="360">
        <f>IF(($A76+H$6)&gt;約款料金!$C$9,ROUNDDOWN(($A76+H$6)*(約款料金!$D$14+$J$4)+約款料金!$D$13,0),IF(($A76+H$6)&gt;約款料金!$B$9,ROUNDDOWN(($A76+H$6)*(約款料金!$C$14+$J$4)+約款料金!$C$13,0),ROUNDDOWN(($A76+H$6)*(約款料金!$B$14+$J$4)+約款料金!$B$13,0)))</f>
        <v>28477</v>
      </c>
      <c r="I76" s="360">
        <f>IF(($A76+I$6)&gt;約款料金!$C$9,ROUNDDOWN(($A76+I$6)*(約款料金!$D$14+$J$4)+約款料金!$D$13,0),IF(($A76+I$6)&gt;約款料金!$B$9,ROUNDDOWN(($A76+I$6)*(約款料金!$C$14+$J$4)+約款料金!$C$13,0),ROUNDDOWN(($A76+I$6)*(約款料金!$B$14+$J$4)+約款料金!$B$13,0)))</f>
        <v>28518</v>
      </c>
      <c r="J76" s="360">
        <f>IF(($A76+J$6)&gt;約款料金!$C$9,ROUNDDOWN(($A76+J$6)*(約款料金!$D$14+$J$4)+約款料金!$D$13,0),IF(($A76+J$6)&gt;約款料金!$B$9,ROUNDDOWN(($A76+J$6)*(約款料金!$C$14+$J$4)+約款料金!$C$13,0),ROUNDDOWN(($A76+J$6)*(約款料金!$B$14+$J$4)+約款料金!$B$13,0)))</f>
        <v>28559</v>
      </c>
      <c r="K76" s="366">
        <f>IF(($A76+K$6)&gt;約款料金!$C$9,ROUNDDOWN(($A76+K$6)*(約款料金!$D$14+$J$4)+約款料金!$D$13,0),IF(($A76+K$6)&gt;約款料金!$B$9,ROUNDDOWN(($A76+K$6)*(約款料金!$C$14+$J$4)+約款料金!$C$13,0),ROUNDDOWN(($A76+K$6)*(約款料金!$B$14+$J$4)+約款料金!$B$13,0)))</f>
        <v>28600</v>
      </c>
    </row>
    <row r="77" spans="1:11">
      <c r="A77" s="380">
        <v>64</v>
      </c>
      <c r="B77" s="365">
        <f>IF(($A77+B$6)&gt;約款料金!$C$9,ROUNDDOWN(($A77+B$6)*(約款料金!$D$14+$J$4)+約款料金!$D$13,0),IF(($A77+B$6)&gt;約款料金!$B$9,ROUNDDOWN(($A77+B$6)*(約款料金!$C$14+$J$4)+約款料金!$C$13,0),ROUNDDOWN(($A77+B$6)*(約款料金!$B$14+$J$4)+約款料金!$B$13,0)))</f>
        <v>28641</v>
      </c>
      <c r="C77" s="360">
        <f>IF(($A77+C$6)&gt;約款料金!$C$9,ROUNDDOWN(($A77+C$6)*(約款料金!$D$14+$J$4)+約款料金!$D$13,0),IF(($A77+C$6)&gt;約款料金!$B$9,ROUNDDOWN(($A77+C$6)*(約款料金!$C$14+$J$4)+約款料金!$C$13,0),ROUNDDOWN(($A77+C$6)*(約款料金!$B$14+$J$4)+約款料金!$B$13,0)))</f>
        <v>28681</v>
      </c>
      <c r="D77" s="360">
        <f>IF(($A77+D$6)&gt;約款料金!$C$9,ROUNDDOWN(($A77+D$6)*(約款料金!$D$14+$J$4)+約款料金!$D$13,0),IF(($A77+D$6)&gt;約款料金!$B$9,ROUNDDOWN(($A77+D$6)*(約款料金!$C$14+$J$4)+約款料金!$C$13,0),ROUNDDOWN(($A77+D$6)*(約款料金!$B$14+$J$4)+約款料金!$B$13,0)))</f>
        <v>28722</v>
      </c>
      <c r="E77" s="360">
        <f>IF(($A77+E$6)&gt;約款料金!$C$9,ROUNDDOWN(($A77+E$6)*(約款料金!$D$14+$J$4)+約款料金!$D$13,0),IF(($A77+E$6)&gt;約款料金!$B$9,ROUNDDOWN(($A77+E$6)*(約款料金!$C$14+$J$4)+約款料金!$C$13,0),ROUNDDOWN(($A77+E$6)*(約款料金!$B$14+$J$4)+約款料金!$B$13,0)))</f>
        <v>28763</v>
      </c>
      <c r="F77" s="360">
        <f>IF(($A77+F$6)&gt;約款料金!$C$9,ROUNDDOWN(($A77+F$6)*(約款料金!$D$14+$J$4)+約款料金!$D$13,0),IF(($A77+F$6)&gt;約款料金!$B$9,ROUNDDOWN(($A77+F$6)*(約款料金!$C$14+$J$4)+約款料金!$C$13,0),ROUNDDOWN(($A77+F$6)*(約款料金!$B$14+$J$4)+約款料金!$B$13,0)))</f>
        <v>28804</v>
      </c>
      <c r="G77" s="360">
        <f>IF(($A77+G$6)&gt;約款料金!$C$9,ROUNDDOWN(($A77+G$6)*(約款料金!$D$14+$J$4)+約款料金!$D$13,0),IF(($A77+G$6)&gt;約款料金!$B$9,ROUNDDOWN(($A77+G$6)*(約款料金!$C$14+$J$4)+約款料金!$C$13,0),ROUNDDOWN(($A77+G$6)*(約款料金!$B$14+$J$4)+約款料金!$B$13,0)))</f>
        <v>28845</v>
      </c>
      <c r="H77" s="360">
        <f>IF(($A77+H$6)&gt;約款料金!$C$9,ROUNDDOWN(($A77+H$6)*(約款料金!$D$14+$J$4)+約款料金!$D$13,0),IF(($A77+H$6)&gt;約款料金!$B$9,ROUNDDOWN(($A77+H$6)*(約款料金!$C$14+$J$4)+約款料金!$C$13,0),ROUNDDOWN(($A77+H$6)*(約款料金!$B$14+$J$4)+約款料金!$B$13,0)))</f>
        <v>28885</v>
      </c>
      <c r="I77" s="360">
        <f>IF(($A77+I$6)&gt;約款料金!$C$9,ROUNDDOWN(($A77+I$6)*(約款料金!$D$14+$J$4)+約款料金!$D$13,0),IF(($A77+I$6)&gt;約款料金!$B$9,ROUNDDOWN(($A77+I$6)*(約款料金!$C$14+$J$4)+約款料金!$C$13,0),ROUNDDOWN(($A77+I$6)*(約款料金!$B$14+$J$4)+約款料金!$B$13,0)))</f>
        <v>28926</v>
      </c>
      <c r="J77" s="360">
        <f>IF(($A77+J$6)&gt;約款料金!$C$9,ROUNDDOWN(($A77+J$6)*(約款料金!$D$14+$J$4)+約款料金!$D$13,0),IF(($A77+J$6)&gt;約款料金!$B$9,ROUNDDOWN(($A77+J$6)*(約款料金!$C$14+$J$4)+約款料金!$C$13,0),ROUNDDOWN(($A77+J$6)*(約款料金!$B$14+$J$4)+約款料金!$B$13,0)))</f>
        <v>28967</v>
      </c>
      <c r="K77" s="366">
        <f>IF(($A77+K$6)&gt;約款料金!$C$9,ROUNDDOWN(($A77+K$6)*(約款料金!$D$14+$J$4)+約款料金!$D$13,0),IF(($A77+K$6)&gt;約款料金!$B$9,ROUNDDOWN(($A77+K$6)*(約款料金!$C$14+$J$4)+約款料金!$C$13,0),ROUNDDOWN(($A77+K$6)*(約款料金!$B$14+$J$4)+約款料金!$B$13,0)))</f>
        <v>29008</v>
      </c>
    </row>
    <row r="78" spans="1:11">
      <c r="A78" s="382">
        <v>65</v>
      </c>
      <c r="B78" s="371">
        <f>IF(($A78+B$6)&gt;約款料金!$C$9,ROUNDDOWN(($A78+B$6)*(約款料金!$D$14+$J$4)+約款料金!$D$13,0),IF(($A78+B$6)&gt;約款料金!$B$9,ROUNDDOWN(($A78+B$6)*(約款料金!$C$14+$J$4)+約款料金!$C$13,0),ROUNDDOWN(($A78+B$6)*(約款料金!$B$14+$J$4)+約款料金!$B$13,0)))</f>
        <v>29049</v>
      </c>
      <c r="C78" s="372">
        <f>IF(($A78+C$6)&gt;約款料金!$C$9,ROUNDDOWN(($A78+C$6)*(約款料金!$D$14+$J$4)+約款料金!$D$13,0),IF(($A78+C$6)&gt;約款料金!$B$9,ROUNDDOWN(($A78+C$6)*(約款料金!$C$14+$J$4)+約款料金!$C$13,0),ROUNDDOWN(($A78+C$6)*(約款料金!$B$14+$J$4)+約款料金!$B$13,0)))</f>
        <v>29090</v>
      </c>
      <c r="D78" s="372">
        <f>IF(($A78+D$6)&gt;約款料金!$C$9,ROUNDDOWN(($A78+D$6)*(約款料金!$D$14+$J$4)+約款料金!$D$13,0),IF(($A78+D$6)&gt;約款料金!$B$9,ROUNDDOWN(($A78+D$6)*(約款料金!$C$14+$J$4)+約款料金!$C$13,0),ROUNDDOWN(($A78+D$6)*(約款料金!$B$14+$J$4)+約款料金!$B$13,0)))</f>
        <v>29130</v>
      </c>
      <c r="E78" s="372">
        <f>IF(($A78+E$6)&gt;約款料金!$C$9,ROUNDDOWN(($A78+E$6)*(約款料金!$D$14+$J$4)+約款料金!$D$13,0),IF(($A78+E$6)&gt;約款料金!$B$9,ROUNDDOWN(($A78+E$6)*(約款料金!$C$14+$J$4)+約款料金!$C$13,0),ROUNDDOWN(($A78+E$6)*(約款料金!$B$14+$J$4)+約款料金!$B$13,0)))</f>
        <v>29171</v>
      </c>
      <c r="F78" s="372">
        <f>IF(($A78+F$6)&gt;約款料金!$C$9,ROUNDDOWN(($A78+F$6)*(約款料金!$D$14+$J$4)+約款料金!$D$13,0),IF(($A78+F$6)&gt;約款料金!$B$9,ROUNDDOWN(($A78+F$6)*(約款料金!$C$14+$J$4)+約款料金!$C$13,0),ROUNDDOWN(($A78+F$6)*(約款料金!$B$14+$J$4)+約款料金!$B$13,0)))</f>
        <v>29212</v>
      </c>
      <c r="G78" s="372">
        <f>IF(($A78+G$6)&gt;約款料金!$C$9,ROUNDDOWN(($A78+G$6)*(約款料金!$D$14+$J$4)+約款料金!$D$13,0),IF(($A78+G$6)&gt;約款料金!$B$9,ROUNDDOWN(($A78+G$6)*(約款料金!$C$14+$J$4)+約款料金!$C$13,0),ROUNDDOWN(($A78+G$6)*(約款料金!$B$14+$J$4)+約款料金!$B$13,0)))</f>
        <v>29253</v>
      </c>
      <c r="H78" s="372">
        <f>IF(($A78+H$6)&gt;約款料金!$C$9,ROUNDDOWN(($A78+H$6)*(約款料金!$D$14+$J$4)+約款料金!$D$13,0),IF(($A78+H$6)&gt;約款料金!$B$9,ROUNDDOWN(($A78+H$6)*(約款料金!$C$14+$J$4)+約款料金!$C$13,0),ROUNDDOWN(($A78+H$6)*(約款料金!$B$14+$J$4)+約款料金!$B$13,0)))</f>
        <v>29294</v>
      </c>
      <c r="I78" s="372">
        <f>IF(($A78+I$6)&gt;約款料金!$C$9,ROUNDDOWN(($A78+I$6)*(約款料金!$D$14+$J$4)+約款料金!$D$13,0),IF(($A78+I$6)&gt;約款料金!$B$9,ROUNDDOWN(($A78+I$6)*(約款料金!$C$14+$J$4)+約款料金!$C$13,0),ROUNDDOWN(($A78+I$6)*(約款料金!$B$14+$J$4)+約款料金!$B$13,0)))</f>
        <v>29334</v>
      </c>
      <c r="J78" s="372">
        <f>IF(($A78+J$6)&gt;約款料金!$C$9,ROUNDDOWN(($A78+J$6)*(約款料金!$D$14+$J$4)+約款料金!$D$13,0),IF(($A78+J$6)&gt;約款料金!$B$9,ROUNDDOWN(($A78+J$6)*(約款料金!$C$14+$J$4)+約款料金!$C$13,0),ROUNDDOWN(($A78+J$6)*(約款料金!$B$14+$J$4)+約款料金!$B$13,0)))</f>
        <v>29375</v>
      </c>
      <c r="K78" s="373">
        <f>IF(($A78+K$6)&gt;約款料金!$C$9,ROUNDDOWN(($A78+K$6)*(約款料金!$D$14+$J$4)+約款料金!$D$13,0),IF(($A78+K$6)&gt;約款料金!$B$9,ROUNDDOWN(($A78+K$6)*(約款料金!$C$14+$J$4)+約款料金!$C$13,0),ROUNDDOWN(($A78+K$6)*(約款料金!$B$14+$J$4)+約款料金!$B$13,0)))</f>
        <v>29416</v>
      </c>
    </row>
    <row r="79" spans="1:11">
      <c r="A79" s="379">
        <v>66</v>
      </c>
      <c r="B79" s="365">
        <f>IF(($A79+B$6)&gt;約款料金!$C$9,ROUNDDOWN(($A79+B$6)*(約款料金!$D$14+$J$4)+約款料金!$D$13,0),IF(($A79+B$6)&gt;約款料金!$B$9,ROUNDDOWN(($A79+B$6)*(約款料金!$C$14+$J$4)+約款料金!$C$13,0),ROUNDDOWN(($A79+B$6)*(約款料金!$B$14+$J$4)+約款料金!$B$13,0)))</f>
        <v>29457</v>
      </c>
      <c r="C79" s="360">
        <f>IF(($A79+C$6)&gt;約款料金!$C$9,ROUNDDOWN(($A79+C$6)*(約款料金!$D$14+$J$4)+約款料金!$D$13,0),IF(($A79+C$6)&gt;約款料金!$B$9,ROUNDDOWN(($A79+C$6)*(約款料金!$C$14+$J$4)+約款料金!$C$13,0),ROUNDDOWN(($A79+C$6)*(約款料金!$B$14+$J$4)+約款料金!$B$13,0)))</f>
        <v>29498</v>
      </c>
      <c r="D79" s="360">
        <f>IF(($A79+D$6)&gt;約款料金!$C$9,ROUNDDOWN(($A79+D$6)*(約款料金!$D$14+$J$4)+約款料金!$D$13,0),IF(($A79+D$6)&gt;約款料金!$B$9,ROUNDDOWN(($A79+D$6)*(約款料金!$C$14+$J$4)+約款料金!$C$13,0),ROUNDDOWN(($A79+D$6)*(約款料金!$B$14+$J$4)+約款料金!$B$13,0)))</f>
        <v>29539</v>
      </c>
      <c r="E79" s="360">
        <f>IF(($A79+E$6)&gt;約款料金!$C$9,ROUNDDOWN(($A79+E$6)*(約款料金!$D$14+$J$4)+約款料金!$D$13,0),IF(($A79+E$6)&gt;約款料金!$B$9,ROUNDDOWN(($A79+E$6)*(約款料金!$C$14+$J$4)+約款料金!$C$13,0),ROUNDDOWN(($A79+E$6)*(約款料金!$B$14+$J$4)+約款料金!$B$13,0)))</f>
        <v>29579</v>
      </c>
      <c r="F79" s="360">
        <f>IF(($A79+F$6)&gt;約款料金!$C$9,ROUNDDOWN(($A79+F$6)*(約款料金!$D$14+$J$4)+約款料金!$D$13,0),IF(($A79+F$6)&gt;約款料金!$B$9,ROUNDDOWN(($A79+F$6)*(約款料金!$C$14+$J$4)+約款料金!$C$13,0),ROUNDDOWN(($A79+F$6)*(約款料金!$B$14+$J$4)+約款料金!$B$13,0)))</f>
        <v>29620</v>
      </c>
      <c r="G79" s="360">
        <f>IF(($A79+G$6)&gt;約款料金!$C$9,ROUNDDOWN(($A79+G$6)*(約款料金!$D$14+$J$4)+約款料金!$D$13,0),IF(($A79+G$6)&gt;約款料金!$B$9,ROUNDDOWN(($A79+G$6)*(約款料金!$C$14+$J$4)+約款料金!$C$13,0),ROUNDDOWN(($A79+G$6)*(約款料金!$B$14+$J$4)+約款料金!$B$13,0)))</f>
        <v>29661</v>
      </c>
      <c r="H79" s="360">
        <f>IF(($A79+H$6)&gt;約款料金!$C$9,ROUNDDOWN(($A79+H$6)*(約款料金!$D$14+$J$4)+約款料金!$D$13,0),IF(($A79+H$6)&gt;約款料金!$B$9,ROUNDDOWN(($A79+H$6)*(約款料金!$C$14+$J$4)+約款料金!$C$13,0),ROUNDDOWN(($A79+H$6)*(約款料金!$B$14+$J$4)+約款料金!$B$13,0)))</f>
        <v>29702</v>
      </c>
      <c r="I79" s="360">
        <f>IF(($A79+I$6)&gt;約款料金!$C$9,ROUNDDOWN(($A79+I$6)*(約款料金!$D$14+$J$4)+約款料金!$D$13,0),IF(($A79+I$6)&gt;約款料金!$B$9,ROUNDDOWN(($A79+I$6)*(約款料金!$C$14+$J$4)+約款料金!$C$13,0),ROUNDDOWN(($A79+I$6)*(約款料金!$B$14+$J$4)+約款料金!$B$13,0)))</f>
        <v>29743</v>
      </c>
      <c r="J79" s="360">
        <f>IF(($A79+J$6)&gt;約款料金!$C$9,ROUNDDOWN(($A79+J$6)*(約款料金!$D$14+$J$4)+約款料金!$D$13,0),IF(($A79+J$6)&gt;約款料金!$B$9,ROUNDDOWN(($A79+J$6)*(約款料金!$C$14+$J$4)+約款料金!$C$13,0),ROUNDDOWN(($A79+J$6)*(約款料金!$B$14+$J$4)+約款料金!$B$13,0)))</f>
        <v>29783</v>
      </c>
      <c r="K79" s="366">
        <f>IF(($A79+K$6)&gt;約款料金!$C$9,ROUNDDOWN(($A79+K$6)*(約款料金!$D$14+$J$4)+約款料金!$D$13,0),IF(($A79+K$6)&gt;約款料金!$B$9,ROUNDDOWN(($A79+K$6)*(約款料金!$C$14+$J$4)+約款料金!$C$13,0),ROUNDDOWN(($A79+K$6)*(約款料金!$B$14+$J$4)+約款料金!$B$13,0)))</f>
        <v>29824</v>
      </c>
    </row>
    <row r="80" spans="1:11">
      <c r="A80" s="380">
        <v>67</v>
      </c>
      <c r="B80" s="365">
        <f>IF(($A80+B$6)&gt;約款料金!$C$9,ROUNDDOWN(($A80+B$6)*(約款料金!$D$14+$J$4)+約款料金!$D$13,0),IF(($A80+B$6)&gt;約款料金!$B$9,ROUNDDOWN(($A80+B$6)*(約款料金!$C$14+$J$4)+約款料金!$C$13,0),ROUNDDOWN(($A80+B$6)*(約款料金!$B$14+$J$4)+約款料金!$B$13,0)))</f>
        <v>29865</v>
      </c>
      <c r="C80" s="360">
        <f>IF(($A80+C$6)&gt;約款料金!$C$9,ROUNDDOWN(($A80+C$6)*(約款料金!$D$14+$J$4)+約款料金!$D$13,0),IF(($A80+C$6)&gt;約款料金!$B$9,ROUNDDOWN(($A80+C$6)*(約款料金!$C$14+$J$4)+約款料金!$C$13,0),ROUNDDOWN(($A80+C$6)*(約款料金!$B$14+$J$4)+約款料金!$B$13,0)))</f>
        <v>29906</v>
      </c>
      <c r="D80" s="360">
        <f>IF(($A80+D$6)&gt;約款料金!$C$9,ROUNDDOWN(($A80+D$6)*(約款料金!$D$14+$J$4)+約款料金!$D$13,0),IF(($A80+D$6)&gt;約款料金!$B$9,ROUNDDOWN(($A80+D$6)*(約款料金!$C$14+$J$4)+約款料金!$C$13,0),ROUNDDOWN(($A80+D$6)*(約款料金!$B$14+$J$4)+約款料金!$B$13,0)))</f>
        <v>29947</v>
      </c>
      <c r="E80" s="360">
        <f>IF(($A80+E$6)&gt;約款料金!$C$9,ROUNDDOWN(($A80+E$6)*(約款料金!$D$14+$J$4)+約款料金!$D$13,0),IF(($A80+E$6)&gt;約款料金!$B$9,ROUNDDOWN(($A80+E$6)*(約款料金!$C$14+$J$4)+約款料金!$C$13,0),ROUNDDOWN(($A80+E$6)*(約款料金!$B$14+$J$4)+約款料金!$B$13,0)))</f>
        <v>29988</v>
      </c>
      <c r="F80" s="360">
        <f>IF(($A80+F$6)&gt;約款料金!$C$9,ROUNDDOWN(($A80+F$6)*(約款料金!$D$14+$J$4)+約款料金!$D$13,0),IF(($A80+F$6)&gt;約款料金!$B$9,ROUNDDOWN(($A80+F$6)*(約款料金!$C$14+$J$4)+約款料金!$C$13,0),ROUNDDOWN(($A80+F$6)*(約款料金!$B$14+$J$4)+約款料金!$B$13,0)))</f>
        <v>30028</v>
      </c>
      <c r="G80" s="360">
        <f>IF(($A80+G$6)&gt;約款料金!$C$9,ROUNDDOWN(($A80+G$6)*(約款料金!$D$14+$J$4)+約款料金!$D$13,0),IF(($A80+G$6)&gt;約款料金!$B$9,ROUNDDOWN(($A80+G$6)*(約款料金!$C$14+$J$4)+約款料金!$C$13,0),ROUNDDOWN(($A80+G$6)*(約款料金!$B$14+$J$4)+約款料金!$B$13,0)))</f>
        <v>30069</v>
      </c>
      <c r="H80" s="360">
        <f>IF(($A80+H$6)&gt;約款料金!$C$9,ROUNDDOWN(($A80+H$6)*(約款料金!$D$14+$J$4)+約款料金!$D$13,0),IF(($A80+H$6)&gt;約款料金!$B$9,ROUNDDOWN(($A80+H$6)*(約款料金!$C$14+$J$4)+約款料金!$C$13,0),ROUNDDOWN(($A80+H$6)*(約款料金!$B$14+$J$4)+約款料金!$B$13,0)))</f>
        <v>30110</v>
      </c>
      <c r="I80" s="360">
        <f>IF(($A80+I$6)&gt;約款料金!$C$9,ROUNDDOWN(($A80+I$6)*(約款料金!$D$14+$J$4)+約款料金!$D$13,0),IF(($A80+I$6)&gt;約款料金!$B$9,ROUNDDOWN(($A80+I$6)*(約款料金!$C$14+$J$4)+約款料金!$C$13,0),ROUNDDOWN(($A80+I$6)*(約款料金!$B$14+$J$4)+約款料金!$B$13,0)))</f>
        <v>30151</v>
      </c>
      <c r="J80" s="360">
        <f>IF(($A80+J$6)&gt;約款料金!$C$9,ROUNDDOWN(($A80+J$6)*(約款料金!$D$14+$J$4)+約款料金!$D$13,0),IF(($A80+J$6)&gt;約款料金!$B$9,ROUNDDOWN(($A80+J$6)*(約款料金!$C$14+$J$4)+約款料金!$C$13,0),ROUNDDOWN(($A80+J$6)*(約款料金!$B$14+$J$4)+約款料金!$B$13,0)))</f>
        <v>30192</v>
      </c>
      <c r="K80" s="366">
        <f>IF(($A80+K$6)&gt;約款料金!$C$9,ROUNDDOWN(($A80+K$6)*(約款料金!$D$14+$J$4)+約款料金!$D$13,0),IF(($A80+K$6)&gt;約款料金!$B$9,ROUNDDOWN(($A80+K$6)*(約款料金!$C$14+$J$4)+約款料金!$C$13,0),ROUNDDOWN(($A80+K$6)*(約款料金!$B$14+$J$4)+約款料金!$B$13,0)))</f>
        <v>30232</v>
      </c>
    </row>
    <row r="81" spans="1:11">
      <c r="A81" s="380">
        <v>68</v>
      </c>
      <c r="B81" s="365">
        <f>IF(($A81+B$6)&gt;約款料金!$C$9,ROUNDDOWN(($A81+B$6)*(約款料金!$D$14+$J$4)+約款料金!$D$13,0),IF(($A81+B$6)&gt;約款料金!$B$9,ROUNDDOWN(($A81+B$6)*(約款料金!$C$14+$J$4)+約款料金!$C$13,0),ROUNDDOWN(($A81+B$6)*(約款料金!$B$14+$J$4)+約款料金!$B$13,0)))</f>
        <v>30273</v>
      </c>
      <c r="C81" s="360">
        <f>IF(($A81+C$6)&gt;約款料金!$C$9,ROUNDDOWN(($A81+C$6)*(約款料金!$D$14+$J$4)+約款料金!$D$13,0),IF(($A81+C$6)&gt;約款料金!$B$9,ROUNDDOWN(($A81+C$6)*(約款料金!$C$14+$J$4)+約款料金!$C$13,0),ROUNDDOWN(($A81+C$6)*(約款料金!$B$14+$J$4)+約款料金!$B$13,0)))</f>
        <v>30314</v>
      </c>
      <c r="D81" s="360">
        <f>IF(($A81+D$6)&gt;約款料金!$C$9,ROUNDDOWN(($A81+D$6)*(約款料金!$D$14+$J$4)+約款料金!$D$13,0),IF(($A81+D$6)&gt;約款料金!$B$9,ROUNDDOWN(($A81+D$6)*(約款料金!$C$14+$J$4)+約款料金!$C$13,0),ROUNDDOWN(($A81+D$6)*(約款料金!$B$14+$J$4)+約款料金!$B$13,0)))</f>
        <v>30355</v>
      </c>
      <c r="E81" s="360">
        <f>IF(($A81+E$6)&gt;約款料金!$C$9,ROUNDDOWN(($A81+E$6)*(約款料金!$D$14+$J$4)+約款料金!$D$13,0),IF(($A81+E$6)&gt;約款料金!$B$9,ROUNDDOWN(($A81+E$6)*(約款料金!$C$14+$J$4)+約款料金!$C$13,0),ROUNDDOWN(($A81+E$6)*(約款料金!$B$14+$J$4)+約款料金!$B$13,0)))</f>
        <v>30396</v>
      </c>
      <c r="F81" s="360">
        <f>IF(($A81+F$6)&gt;約款料金!$C$9,ROUNDDOWN(($A81+F$6)*(約款料金!$D$14+$J$4)+約款料金!$D$13,0),IF(($A81+F$6)&gt;約款料金!$B$9,ROUNDDOWN(($A81+F$6)*(約款料金!$C$14+$J$4)+約款料金!$C$13,0),ROUNDDOWN(($A81+F$6)*(約款料金!$B$14+$J$4)+約款料金!$B$13,0)))</f>
        <v>30437</v>
      </c>
      <c r="G81" s="360">
        <f>IF(($A81+G$6)&gt;約款料金!$C$9,ROUNDDOWN(($A81+G$6)*(約款料金!$D$14+$J$4)+約款料金!$D$13,0),IF(($A81+G$6)&gt;約款料金!$B$9,ROUNDDOWN(($A81+G$6)*(約款料金!$C$14+$J$4)+約款料金!$C$13,0),ROUNDDOWN(($A81+G$6)*(約款料金!$B$14+$J$4)+約款料金!$B$13,0)))</f>
        <v>30477</v>
      </c>
      <c r="H81" s="360">
        <f>IF(($A81+H$6)&gt;約款料金!$C$9,ROUNDDOWN(($A81+H$6)*(約款料金!$D$14+$J$4)+約款料金!$D$13,0),IF(($A81+H$6)&gt;約款料金!$B$9,ROUNDDOWN(($A81+H$6)*(約款料金!$C$14+$J$4)+約款料金!$C$13,0),ROUNDDOWN(($A81+H$6)*(約款料金!$B$14+$J$4)+約款料金!$B$13,0)))</f>
        <v>30518</v>
      </c>
      <c r="I81" s="360">
        <f>IF(($A81+I$6)&gt;約款料金!$C$9,ROUNDDOWN(($A81+I$6)*(約款料金!$D$14+$J$4)+約款料金!$D$13,0),IF(($A81+I$6)&gt;約款料金!$B$9,ROUNDDOWN(($A81+I$6)*(約款料金!$C$14+$J$4)+約款料金!$C$13,0),ROUNDDOWN(($A81+I$6)*(約款料金!$B$14+$J$4)+約款料金!$B$13,0)))</f>
        <v>30559</v>
      </c>
      <c r="J81" s="360">
        <f>IF(($A81+J$6)&gt;約款料金!$C$9,ROUNDDOWN(($A81+J$6)*(約款料金!$D$14+$J$4)+約款料金!$D$13,0),IF(($A81+J$6)&gt;約款料金!$B$9,ROUNDDOWN(($A81+J$6)*(約款料金!$C$14+$J$4)+約款料金!$C$13,0),ROUNDDOWN(($A81+J$6)*(約款料金!$B$14+$J$4)+約款料金!$B$13,0)))</f>
        <v>30600</v>
      </c>
      <c r="K81" s="366">
        <f>IF(($A81+K$6)&gt;約款料金!$C$9,ROUNDDOWN(($A81+K$6)*(約款料金!$D$14+$J$4)+約款料金!$D$13,0),IF(($A81+K$6)&gt;約款料金!$B$9,ROUNDDOWN(($A81+K$6)*(約款料金!$C$14+$J$4)+約款料金!$C$13,0),ROUNDDOWN(($A81+K$6)*(約款料金!$B$14+$J$4)+約款料金!$B$13,0)))</f>
        <v>30641</v>
      </c>
    </row>
    <row r="82" spans="1:11">
      <c r="A82" s="380">
        <v>69</v>
      </c>
      <c r="B82" s="365">
        <f>IF(($A82+B$6)&gt;約款料金!$C$9,ROUNDDOWN(($A82+B$6)*(約款料金!$D$14+$J$4)+約款料金!$D$13,0),IF(($A82+B$6)&gt;約款料金!$B$9,ROUNDDOWN(($A82+B$6)*(約款料金!$C$14+$J$4)+約款料金!$C$13,0),ROUNDDOWN(($A82+B$6)*(約款料金!$B$14+$J$4)+約款料金!$B$13,0)))</f>
        <v>30682</v>
      </c>
      <c r="C82" s="360">
        <f>IF(($A82+C$6)&gt;約款料金!$C$9,ROUNDDOWN(($A82+C$6)*(約款料金!$D$14+$J$4)+約款料金!$D$13,0),IF(($A82+C$6)&gt;約款料金!$B$9,ROUNDDOWN(($A82+C$6)*(約款料金!$C$14+$J$4)+約款料金!$C$13,0),ROUNDDOWN(($A82+C$6)*(約款料金!$B$14+$J$4)+約款料金!$B$13,0)))</f>
        <v>30722</v>
      </c>
      <c r="D82" s="360">
        <f>IF(($A82+D$6)&gt;約款料金!$C$9,ROUNDDOWN(($A82+D$6)*(約款料金!$D$14+$J$4)+約款料金!$D$13,0),IF(($A82+D$6)&gt;約款料金!$B$9,ROUNDDOWN(($A82+D$6)*(約款料金!$C$14+$J$4)+約款料金!$C$13,0),ROUNDDOWN(($A82+D$6)*(約款料金!$B$14+$J$4)+約款料金!$B$13,0)))</f>
        <v>30763</v>
      </c>
      <c r="E82" s="360">
        <f>IF(($A82+E$6)&gt;約款料金!$C$9,ROUNDDOWN(($A82+E$6)*(約款料金!$D$14+$J$4)+約款料金!$D$13,0),IF(($A82+E$6)&gt;約款料金!$B$9,ROUNDDOWN(($A82+E$6)*(約款料金!$C$14+$J$4)+約款料金!$C$13,0),ROUNDDOWN(($A82+E$6)*(約款料金!$B$14+$J$4)+約款料金!$B$13,0)))</f>
        <v>30804</v>
      </c>
      <c r="F82" s="360">
        <f>IF(($A82+F$6)&gt;約款料金!$C$9,ROUNDDOWN(($A82+F$6)*(約款料金!$D$14+$J$4)+約款料金!$D$13,0),IF(($A82+F$6)&gt;約款料金!$B$9,ROUNDDOWN(($A82+F$6)*(約款料金!$C$14+$J$4)+約款料金!$C$13,0),ROUNDDOWN(($A82+F$6)*(約款料金!$B$14+$J$4)+約款料金!$B$13,0)))</f>
        <v>30845</v>
      </c>
      <c r="G82" s="360">
        <f>IF(($A82+G$6)&gt;約款料金!$C$9,ROUNDDOWN(($A82+G$6)*(約款料金!$D$14+$J$4)+約款料金!$D$13,0),IF(($A82+G$6)&gt;約款料金!$B$9,ROUNDDOWN(($A82+G$6)*(約款料金!$C$14+$J$4)+約款料金!$C$13,0),ROUNDDOWN(($A82+G$6)*(約款料金!$B$14+$J$4)+約款料金!$B$13,0)))</f>
        <v>30886</v>
      </c>
      <c r="H82" s="360">
        <f>IF(($A82+H$6)&gt;約款料金!$C$9,ROUNDDOWN(($A82+H$6)*(約款料金!$D$14+$J$4)+約款料金!$D$13,0),IF(($A82+H$6)&gt;約款料金!$B$9,ROUNDDOWN(($A82+H$6)*(約款料金!$C$14+$J$4)+約款料金!$C$13,0),ROUNDDOWN(($A82+H$6)*(約款料金!$B$14+$J$4)+約款料金!$B$13,0)))</f>
        <v>30926</v>
      </c>
      <c r="I82" s="360">
        <f>IF(($A82+I$6)&gt;約款料金!$C$9,ROUNDDOWN(($A82+I$6)*(約款料金!$D$14+$J$4)+約款料金!$D$13,0),IF(($A82+I$6)&gt;約款料金!$B$9,ROUNDDOWN(($A82+I$6)*(約款料金!$C$14+$J$4)+約款料金!$C$13,0),ROUNDDOWN(($A82+I$6)*(約款料金!$B$14+$J$4)+約款料金!$B$13,0)))</f>
        <v>30967</v>
      </c>
      <c r="J82" s="360">
        <f>IF(($A82+J$6)&gt;約款料金!$C$9,ROUNDDOWN(($A82+J$6)*(約款料金!$D$14+$J$4)+約款料金!$D$13,0),IF(($A82+J$6)&gt;約款料金!$B$9,ROUNDDOWN(($A82+J$6)*(約款料金!$C$14+$J$4)+約款料金!$C$13,0),ROUNDDOWN(($A82+J$6)*(約款料金!$B$14+$J$4)+約款料金!$B$13,0)))</f>
        <v>31008</v>
      </c>
      <c r="K82" s="366">
        <f>IF(($A82+K$6)&gt;約款料金!$C$9,ROUNDDOWN(($A82+K$6)*(約款料金!$D$14+$J$4)+約款料金!$D$13,0),IF(($A82+K$6)&gt;約款料金!$B$9,ROUNDDOWN(($A82+K$6)*(約款料金!$C$14+$J$4)+約款料金!$C$13,0),ROUNDDOWN(($A82+K$6)*(約款料金!$B$14+$J$4)+約款料金!$B$13,0)))</f>
        <v>31049</v>
      </c>
    </row>
    <row r="83" spans="1:11">
      <c r="A83" s="382">
        <v>70</v>
      </c>
      <c r="B83" s="371">
        <f>IF(($A83+B$6)&gt;約款料金!$C$9,ROUNDDOWN(($A83+B$6)*(約款料金!$D$14+$J$4)+約款料金!$D$13,0),IF(($A83+B$6)&gt;約款料金!$B$9,ROUNDDOWN(($A83+B$6)*(約款料金!$C$14+$J$4)+約款料金!$C$13,0),ROUNDDOWN(($A83+B$6)*(約款料金!$B$14+$J$4)+約款料金!$B$13,0)))</f>
        <v>31090</v>
      </c>
      <c r="C83" s="372">
        <f>IF(($A83+C$6)&gt;約款料金!$C$9,ROUNDDOWN(($A83+C$6)*(約款料金!$D$14+$J$4)+約款料金!$D$13,0),IF(($A83+C$6)&gt;約款料金!$B$9,ROUNDDOWN(($A83+C$6)*(約款料金!$C$14+$J$4)+約款料金!$C$13,0),ROUNDDOWN(($A83+C$6)*(約款料金!$B$14+$J$4)+約款料金!$B$13,0)))</f>
        <v>31131</v>
      </c>
      <c r="D83" s="372">
        <f>IF(($A83+D$6)&gt;約款料金!$C$9,ROUNDDOWN(($A83+D$6)*(約款料金!$D$14+$J$4)+約款料金!$D$13,0),IF(($A83+D$6)&gt;約款料金!$B$9,ROUNDDOWN(($A83+D$6)*(約款料金!$C$14+$J$4)+約款料金!$C$13,0),ROUNDDOWN(($A83+D$6)*(約款料金!$B$14+$J$4)+約款料金!$B$13,0)))</f>
        <v>31171</v>
      </c>
      <c r="E83" s="372">
        <f>IF(($A83+E$6)&gt;約款料金!$C$9,ROUNDDOWN(($A83+E$6)*(約款料金!$D$14+$J$4)+約款料金!$D$13,0),IF(($A83+E$6)&gt;約款料金!$B$9,ROUNDDOWN(($A83+E$6)*(約款料金!$C$14+$J$4)+約款料金!$C$13,0),ROUNDDOWN(($A83+E$6)*(約款料金!$B$14+$J$4)+約款料金!$B$13,0)))</f>
        <v>31212</v>
      </c>
      <c r="F83" s="372">
        <f>IF(($A83+F$6)&gt;約款料金!$C$9,ROUNDDOWN(($A83+F$6)*(約款料金!$D$14+$J$4)+約款料金!$D$13,0),IF(($A83+F$6)&gt;約款料金!$B$9,ROUNDDOWN(($A83+F$6)*(約款料金!$C$14+$J$4)+約款料金!$C$13,0),ROUNDDOWN(($A83+F$6)*(約款料金!$B$14+$J$4)+約款料金!$B$13,0)))</f>
        <v>31253</v>
      </c>
      <c r="G83" s="372">
        <f>IF(($A83+G$6)&gt;約款料金!$C$9,ROUNDDOWN(($A83+G$6)*(約款料金!$D$14+$J$4)+約款料金!$D$13,0),IF(($A83+G$6)&gt;約款料金!$B$9,ROUNDDOWN(($A83+G$6)*(約款料金!$C$14+$J$4)+約款料金!$C$13,0),ROUNDDOWN(($A83+G$6)*(約款料金!$B$14+$J$4)+約款料金!$B$13,0)))</f>
        <v>31294</v>
      </c>
      <c r="H83" s="372">
        <f>IF(($A83+H$6)&gt;約款料金!$C$9,ROUNDDOWN(($A83+H$6)*(約款料金!$D$14+$J$4)+約款料金!$D$13,0),IF(($A83+H$6)&gt;約款料金!$B$9,ROUNDDOWN(($A83+H$6)*(約款料金!$C$14+$J$4)+約款料金!$C$13,0),ROUNDDOWN(($A83+H$6)*(約款料金!$B$14+$J$4)+約款料金!$B$13,0)))</f>
        <v>31335</v>
      </c>
      <c r="I83" s="372">
        <f>IF(($A83+I$6)&gt;約款料金!$C$9,ROUNDDOWN(($A83+I$6)*(約款料金!$D$14+$J$4)+約款料金!$D$13,0),IF(($A83+I$6)&gt;約款料金!$B$9,ROUNDDOWN(($A83+I$6)*(約款料金!$C$14+$J$4)+約款料金!$C$13,0),ROUNDDOWN(($A83+I$6)*(約款料金!$B$14+$J$4)+約款料金!$B$13,0)))</f>
        <v>31375</v>
      </c>
      <c r="J83" s="372">
        <f>IF(($A83+J$6)&gt;約款料金!$C$9,ROUNDDOWN(($A83+J$6)*(約款料金!$D$14+$J$4)+約款料金!$D$13,0),IF(($A83+J$6)&gt;約款料金!$B$9,ROUNDDOWN(($A83+J$6)*(約款料金!$C$14+$J$4)+約款料金!$C$13,0),ROUNDDOWN(($A83+J$6)*(約款料金!$B$14+$J$4)+約款料金!$B$13,0)))</f>
        <v>31416</v>
      </c>
      <c r="K83" s="373">
        <f>IF(($A83+K$6)&gt;約款料金!$C$9,ROUNDDOWN(($A83+K$6)*(約款料金!$D$14+$J$4)+約款料金!$D$13,0),IF(($A83+K$6)&gt;約款料金!$B$9,ROUNDDOWN(($A83+K$6)*(約款料金!$C$14+$J$4)+約款料金!$C$13,0),ROUNDDOWN(($A83+K$6)*(約款料金!$B$14+$J$4)+約款料金!$B$13,0)))</f>
        <v>31457</v>
      </c>
    </row>
    <row r="84" spans="1:11">
      <c r="A84" s="379">
        <v>71</v>
      </c>
      <c r="B84" s="365">
        <f>IF(($A84+B$6)&gt;約款料金!$C$9,ROUNDDOWN(($A84+B$6)*(約款料金!$D$14+$J$4)+約款料金!$D$13,0),IF(($A84+B$6)&gt;約款料金!$B$9,ROUNDDOWN(($A84+B$6)*(約款料金!$C$14+$J$4)+約款料金!$C$13,0),ROUNDDOWN(($A84+B$6)*(約款料金!$B$14+$J$4)+約款料金!$B$13,0)))</f>
        <v>31498</v>
      </c>
      <c r="C84" s="360">
        <f>IF(($A84+C$6)&gt;約款料金!$C$9,ROUNDDOWN(($A84+C$6)*(約款料金!$D$14+$J$4)+約款料金!$D$13,0),IF(($A84+C$6)&gt;約款料金!$B$9,ROUNDDOWN(($A84+C$6)*(約款料金!$C$14+$J$4)+約款料金!$C$13,0),ROUNDDOWN(($A84+C$6)*(約款料金!$B$14+$J$4)+約款料金!$B$13,0)))</f>
        <v>31539</v>
      </c>
      <c r="D84" s="360">
        <f>IF(($A84+D$6)&gt;約款料金!$C$9,ROUNDDOWN(($A84+D$6)*(約款料金!$D$14+$J$4)+約款料金!$D$13,0),IF(($A84+D$6)&gt;約款料金!$B$9,ROUNDDOWN(($A84+D$6)*(約款料金!$C$14+$J$4)+約款料金!$C$13,0),ROUNDDOWN(($A84+D$6)*(約款料金!$B$14+$J$4)+約款料金!$B$13,0)))</f>
        <v>31580</v>
      </c>
      <c r="E84" s="360">
        <f>IF(($A84+E$6)&gt;約款料金!$C$9,ROUNDDOWN(($A84+E$6)*(約款料金!$D$14+$J$4)+約款料金!$D$13,0),IF(($A84+E$6)&gt;約款料金!$B$9,ROUNDDOWN(($A84+E$6)*(約款料金!$C$14+$J$4)+約款料金!$C$13,0),ROUNDDOWN(($A84+E$6)*(約款料金!$B$14+$J$4)+約款料金!$B$13,0)))</f>
        <v>31620</v>
      </c>
      <c r="F84" s="360">
        <f>IF(($A84+F$6)&gt;約款料金!$C$9,ROUNDDOWN(($A84+F$6)*(約款料金!$D$14+$J$4)+約款料金!$D$13,0),IF(($A84+F$6)&gt;約款料金!$B$9,ROUNDDOWN(($A84+F$6)*(約款料金!$C$14+$J$4)+約款料金!$C$13,0),ROUNDDOWN(($A84+F$6)*(約款料金!$B$14+$J$4)+約款料金!$B$13,0)))</f>
        <v>31661</v>
      </c>
      <c r="G84" s="360">
        <f>IF(($A84+G$6)&gt;約款料金!$C$9,ROUNDDOWN(($A84+G$6)*(約款料金!$D$14+$J$4)+約款料金!$D$13,0),IF(($A84+G$6)&gt;約款料金!$B$9,ROUNDDOWN(($A84+G$6)*(約款料金!$C$14+$J$4)+約款料金!$C$13,0),ROUNDDOWN(($A84+G$6)*(約款料金!$B$14+$J$4)+約款料金!$B$13,0)))</f>
        <v>31702</v>
      </c>
      <c r="H84" s="360">
        <f>IF(($A84+H$6)&gt;約款料金!$C$9,ROUNDDOWN(($A84+H$6)*(約款料金!$D$14+$J$4)+約款料金!$D$13,0),IF(($A84+H$6)&gt;約款料金!$B$9,ROUNDDOWN(($A84+H$6)*(約款料金!$C$14+$J$4)+約款料金!$C$13,0),ROUNDDOWN(($A84+H$6)*(約款料金!$B$14+$J$4)+約款料金!$B$13,0)))</f>
        <v>31743</v>
      </c>
      <c r="I84" s="360">
        <f>IF(($A84+I$6)&gt;約款料金!$C$9,ROUNDDOWN(($A84+I$6)*(約款料金!$D$14+$J$4)+約款料金!$D$13,0),IF(($A84+I$6)&gt;約款料金!$B$9,ROUNDDOWN(($A84+I$6)*(約款料金!$C$14+$J$4)+約款料金!$C$13,0),ROUNDDOWN(($A84+I$6)*(約款料金!$B$14+$J$4)+約款料金!$B$13,0)))</f>
        <v>31784</v>
      </c>
      <c r="J84" s="360">
        <f>IF(($A84+J$6)&gt;約款料金!$C$9,ROUNDDOWN(($A84+J$6)*(約款料金!$D$14+$J$4)+約款料金!$D$13,0),IF(($A84+J$6)&gt;約款料金!$B$9,ROUNDDOWN(($A84+J$6)*(約款料金!$C$14+$J$4)+約款料金!$C$13,0),ROUNDDOWN(($A84+J$6)*(約款料金!$B$14+$J$4)+約款料金!$B$13,0)))</f>
        <v>31824</v>
      </c>
      <c r="K84" s="366">
        <f>IF(($A84+K$6)&gt;約款料金!$C$9,ROUNDDOWN(($A84+K$6)*(約款料金!$D$14+$J$4)+約款料金!$D$13,0),IF(($A84+K$6)&gt;約款料金!$B$9,ROUNDDOWN(($A84+K$6)*(約款料金!$C$14+$J$4)+約款料金!$C$13,0),ROUNDDOWN(($A84+K$6)*(約款料金!$B$14+$J$4)+約款料金!$B$13,0)))</f>
        <v>31865</v>
      </c>
    </row>
    <row r="85" spans="1:11">
      <c r="A85" s="380">
        <v>72</v>
      </c>
      <c r="B85" s="365">
        <f>IF(($A85+B$6)&gt;約款料金!$C$9,ROUNDDOWN(($A85+B$6)*(約款料金!$D$14+$J$4)+約款料金!$D$13,0),IF(($A85+B$6)&gt;約款料金!$B$9,ROUNDDOWN(($A85+B$6)*(約款料金!$C$14+$J$4)+約款料金!$C$13,0),ROUNDDOWN(($A85+B$6)*(約款料金!$B$14+$J$4)+約款料金!$B$13,0)))</f>
        <v>31906</v>
      </c>
      <c r="C85" s="360">
        <f>IF(($A85+C$6)&gt;約款料金!$C$9,ROUNDDOWN(($A85+C$6)*(約款料金!$D$14+$J$4)+約款料金!$D$13,0),IF(($A85+C$6)&gt;約款料金!$B$9,ROUNDDOWN(($A85+C$6)*(約款料金!$C$14+$J$4)+約款料金!$C$13,0),ROUNDDOWN(($A85+C$6)*(約款料金!$B$14+$J$4)+約款料金!$B$13,0)))</f>
        <v>31947</v>
      </c>
      <c r="D85" s="360">
        <f>IF(($A85+D$6)&gt;約款料金!$C$9,ROUNDDOWN(($A85+D$6)*(約款料金!$D$14+$J$4)+約款料金!$D$13,0),IF(($A85+D$6)&gt;約款料金!$B$9,ROUNDDOWN(($A85+D$6)*(約款料金!$C$14+$J$4)+約款料金!$C$13,0),ROUNDDOWN(($A85+D$6)*(約款料金!$B$14+$J$4)+約款料金!$B$13,0)))</f>
        <v>31988</v>
      </c>
      <c r="E85" s="360">
        <f>IF(($A85+E$6)&gt;約款料金!$C$9,ROUNDDOWN(($A85+E$6)*(約款料金!$D$14+$J$4)+約款料金!$D$13,0),IF(($A85+E$6)&gt;約款料金!$B$9,ROUNDDOWN(($A85+E$6)*(約款料金!$C$14+$J$4)+約款料金!$C$13,0),ROUNDDOWN(($A85+E$6)*(約款料金!$B$14+$J$4)+約款料金!$B$13,0)))</f>
        <v>32029</v>
      </c>
      <c r="F85" s="360">
        <f>IF(($A85+F$6)&gt;約款料金!$C$9,ROUNDDOWN(($A85+F$6)*(約款料金!$D$14+$J$4)+約款料金!$D$13,0),IF(($A85+F$6)&gt;約款料金!$B$9,ROUNDDOWN(($A85+F$6)*(約款料金!$C$14+$J$4)+約款料金!$C$13,0),ROUNDDOWN(($A85+F$6)*(約款料金!$B$14+$J$4)+約款料金!$B$13,0)))</f>
        <v>32069</v>
      </c>
      <c r="G85" s="360">
        <f>IF(($A85+G$6)&gt;約款料金!$C$9,ROUNDDOWN(($A85+G$6)*(約款料金!$D$14+$J$4)+約款料金!$D$13,0),IF(($A85+G$6)&gt;約款料金!$B$9,ROUNDDOWN(($A85+G$6)*(約款料金!$C$14+$J$4)+約款料金!$C$13,0),ROUNDDOWN(($A85+G$6)*(約款料金!$B$14+$J$4)+約款料金!$B$13,0)))</f>
        <v>32110</v>
      </c>
      <c r="H85" s="360">
        <f>IF(($A85+H$6)&gt;約款料金!$C$9,ROUNDDOWN(($A85+H$6)*(約款料金!$D$14+$J$4)+約款料金!$D$13,0),IF(($A85+H$6)&gt;約款料金!$B$9,ROUNDDOWN(($A85+H$6)*(約款料金!$C$14+$J$4)+約款料金!$C$13,0),ROUNDDOWN(($A85+H$6)*(約款料金!$B$14+$J$4)+約款料金!$B$13,0)))</f>
        <v>32151</v>
      </c>
      <c r="I85" s="360">
        <f>IF(($A85+I$6)&gt;約款料金!$C$9,ROUNDDOWN(($A85+I$6)*(約款料金!$D$14+$J$4)+約款料金!$D$13,0),IF(($A85+I$6)&gt;約款料金!$B$9,ROUNDDOWN(($A85+I$6)*(約款料金!$C$14+$J$4)+約款料金!$C$13,0),ROUNDDOWN(($A85+I$6)*(約款料金!$B$14+$J$4)+約款料金!$B$13,0)))</f>
        <v>32192</v>
      </c>
      <c r="J85" s="360">
        <f>IF(($A85+J$6)&gt;約款料金!$C$9,ROUNDDOWN(($A85+J$6)*(約款料金!$D$14+$J$4)+約款料金!$D$13,0),IF(($A85+J$6)&gt;約款料金!$B$9,ROUNDDOWN(($A85+J$6)*(約款料金!$C$14+$J$4)+約款料金!$C$13,0),ROUNDDOWN(($A85+J$6)*(約款料金!$B$14+$J$4)+約款料金!$B$13,0)))</f>
        <v>32233</v>
      </c>
      <c r="K85" s="366">
        <f>IF(($A85+K$6)&gt;約款料金!$C$9,ROUNDDOWN(($A85+K$6)*(約款料金!$D$14+$J$4)+約款料金!$D$13,0),IF(($A85+K$6)&gt;約款料金!$B$9,ROUNDDOWN(($A85+K$6)*(約款料金!$C$14+$J$4)+約款料金!$C$13,0),ROUNDDOWN(($A85+K$6)*(約款料金!$B$14+$J$4)+約款料金!$B$13,0)))</f>
        <v>32273</v>
      </c>
    </row>
    <row r="86" spans="1:11">
      <c r="A86" s="380">
        <v>73</v>
      </c>
      <c r="B86" s="365">
        <f>IF(($A86+B$6)&gt;約款料金!$C$9,ROUNDDOWN(($A86+B$6)*(約款料金!$D$14+$J$4)+約款料金!$D$13,0),IF(($A86+B$6)&gt;約款料金!$B$9,ROUNDDOWN(($A86+B$6)*(約款料金!$C$14+$J$4)+約款料金!$C$13,0),ROUNDDOWN(($A86+B$6)*(約款料金!$B$14+$J$4)+約款料金!$B$13,0)))</f>
        <v>32314</v>
      </c>
      <c r="C86" s="360">
        <f>IF(($A86+C$6)&gt;約款料金!$C$9,ROUNDDOWN(($A86+C$6)*(約款料金!$D$14+$J$4)+約款料金!$D$13,0),IF(($A86+C$6)&gt;約款料金!$B$9,ROUNDDOWN(($A86+C$6)*(約款料金!$C$14+$J$4)+約款料金!$C$13,0),ROUNDDOWN(($A86+C$6)*(約款料金!$B$14+$J$4)+約款料金!$B$13,0)))</f>
        <v>32355</v>
      </c>
      <c r="D86" s="360">
        <f>IF(($A86+D$6)&gt;約款料金!$C$9,ROUNDDOWN(($A86+D$6)*(約款料金!$D$14+$J$4)+約款料金!$D$13,0),IF(($A86+D$6)&gt;約款料金!$B$9,ROUNDDOWN(($A86+D$6)*(約款料金!$C$14+$J$4)+約款料金!$C$13,0),ROUNDDOWN(($A86+D$6)*(約款料金!$B$14+$J$4)+約款料金!$B$13,0)))</f>
        <v>32396</v>
      </c>
      <c r="E86" s="360">
        <f>IF(($A86+E$6)&gt;約款料金!$C$9,ROUNDDOWN(($A86+E$6)*(約款料金!$D$14+$J$4)+約款料金!$D$13,0),IF(($A86+E$6)&gt;約款料金!$B$9,ROUNDDOWN(($A86+E$6)*(約款料金!$C$14+$J$4)+約款料金!$C$13,0),ROUNDDOWN(($A86+E$6)*(約款料金!$B$14+$J$4)+約款料金!$B$13,0)))</f>
        <v>32437</v>
      </c>
      <c r="F86" s="360">
        <f>IF(($A86+F$6)&gt;約款料金!$C$9,ROUNDDOWN(($A86+F$6)*(約款料金!$D$14+$J$4)+約款料金!$D$13,0),IF(($A86+F$6)&gt;約款料金!$B$9,ROUNDDOWN(($A86+F$6)*(約款料金!$C$14+$J$4)+約款料金!$C$13,0),ROUNDDOWN(($A86+F$6)*(約款料金!$B$14+$J$4)+約款料金!$B$13,0)))</f>
        <v>32478</v>
      </c>
      <c r="G86" s="360">
        <f>IF(($A86+G$6)&gt;約款料金!$C$9,ROUNDDOWN(($A86+G$6)*(約款料金!$D$14+$J$4)+約款料金!$D$13,0),IF(($A86+G$6)&gt;約款料金!$B$9,ROUNDDOWN(($A86+G$6)*(約款料金!$C$14+$J$4)+約款料金!$C$13,0),ROUNDDOWN(($A86+G$6)*(約款料金!$B$14+$J$4)+約款料金!$B$13,0)))</f>
        <v>32518</v>
      </c>
      <c r="H86" s="360">
        <f>IF(($A86+H$6)&gt;約款料金!$C$9,ROUNDDOWN(($A86+H$6)*(約款料金!$D$14+$J$4)+約款料金!$D$13,0),IF(($A86+H$6)&gt;約款料金!$B$9,ROUNDDOWN(($A86+H$6)*(約款料金!$C$14+$J$4)+約款料金!$C$13,0),ROUNDDOWN(($A86+H$6)*(約款料金!$B$14+$J$4)+約款料金!$B$13,0)))</f>
        <v>32559</v>
      </c>
      <c r="I86" s="360">
        <f>IF(($A86+I$6)&gt;約款料金!$C$9,ROUNDDOWN(($A86+I$6)*(約款料金!$D$14+$J$4)+約款料金!$D$13,0),IF(($A86+I$6)&gt;約款料金!$B$9,ROUNDDOWN(($A86+I$6)*(約款料金!$C$14+$J$4)+約款料金!$C$13,0),ROUNDDOWN(($A86+I$6)*(約款料金!$B$14+$J$4)+約款料金!$B$13,0)))</f>
        <v>32600</v>
      </c>
      <c r="J86" s="360">
        <f>IF(($A86+J$6)&gt;約款料金!$C$9,ROUNDDOWN(($A86+J$6)*(約款料金!$D$14+$J$4)+約款料金!$D$13,0),IF(($A86+J$6)&gt;約款料金!$B$9,ROUNDDOWN(($A86+J$6)*(約款料金!$C$14+$J$4)+約款料金!$C$13,0),ROUNDDOWN(($A86+J$6)*(約款料金!$B$14+$J$4)+約款料金!$B$13,0)))</f>
        <v>32641</v>
      </c>
      <c r="K86" s="366">
        <f>IF(($A86+K$6)&gt;約款料金!$C$9,ROUNDDOWN(($A86+K$6)*(約款料金!$D$14+$J$4)+約款料金!$D$13,0),IF(($A86+K$6)&gt;約款料金!$B$9,ROUNDDOWN(($A86+K$6)*(約款料金!$C$14+$J$4)+約款料金!$C$13,0),ROUNDDOWN(($A86+K$6)*(約款料金!$B$14+$J$4)+約款料金!$B$13,0)))</f>
        <v>32682</v>
      </c>
    </row>
    <row r="87" spans="1:11">
      <c r="A87" s="380">
        <v>74</v>
      </c>
      <c r="B87" s="365">
        <f>IF(($A87+B$6)&gt;約款料金!$C$9,ROUNDDOWN(($A87+B$6)*(約款料金!$D$14+$J$4)+約款料金!$D$13,0),IF(($A87+B$6)&gt;約款料金!$B$9,ROUNDDOWN(($A87+B$6)*(約款料金!$C$14+$J$4)+約款料金!$C$13,0),ROUNDDOWN(($A87+B$6)*(約款料金!$B$14+$J$4)+約款料金!$B$13,0)))</f>
        <v>32723</v>
      </c>
      <c r="C87" s="360">
        <f>IF(($A87+C$6)&gt;約款料金!$C$9,ROUNDDOWN(($A87+C$6)*(約款料金!$D$14+$J$4)+約款料金!$D$13,0),IF(($A87+C$6)&gt;約款料金!$B$9,ROUNDDOWN(($A87+C$6)*(約款料金!$C$14+$J$4)+約款料金!$C$13,0),ROUNDDOWN(($A87+C$6)*(約款料金!$B$14+$J$4)+約款料金!$B$13,0)))</f>
        <v>32763</v>
      </c>
      <c r="D87" s="360">
        <f>IF(($A87+D$6)&gt;約款料金!$C$9,ROUNDDOWN(($A87+D$6)*(約款料金!$D$14+$J$4)+約款料金!$D$13,0),IF(($A87+D$6)&gt;約款料金!$B$9,ROUNDDOWN(($A87+D$6)*(約款料金!$C$14+$J$4)+約款料金!$C$13,0),ROUNDDOWN(($A87+D$6)*(約款料金!$B$14+$J$4)+約款料金!$B$13,0)))</f>
        <v>32804</v>
      </c>
      <c r="E87" s="360">
        <f>IF(($A87+E$6)&gt;約款料金!$C$9,ROUNDDOWN(($A87+E$6)*(約款料金!$D$14+$J$4)+約款料金!$D$13,0),IF(($A87+E$6)&gt;約款料金!$B$9,ROUNDDOWN(($A87+E$6)*(約款料金!$C$14+$J$4)+約款料金!$C$13,0),ROUNDDOWN(($A87+E$6)*(約款料金!$B$14+$J$4)+約款料金!$B$13,0)))</f>
        <v>32845</v>
      </c>
      <c r="F87" s="360">
        <f>IF(($A87+F$6)&gt;約款料金!$C$9,ROUNDDOWN(($A87+F$6)*(約款料金!$D$14+$J$4)+約款料金!$D$13,0),IF(($A87+F$6)&gt;約款料金!$B$9,ROUNDDOWN(($A87+F$6)*(約款料金!$C$14+$J$4)+約款料金!$C$13,0),ROUNDDOWN(($A87+F$6)*(約款料金!$B$14+$J$4)+約款料金!$B$13,0)))</f>
        <v>32886</v>
      </c>
      <c r="G87" s="360">
        <f>IF(($A87+G$6)&gt;約款料金!$C$9,ROUNDDOWN(($A87+G$6)*(約款料金!$D$14+$J$4)+約款料金!$D$13,0),IF(($A87+G$6)&gt;約款料金!$B$9,ROUNDDOWN(($A87+G$6)*(約款料金!$C$14+$J$4)+約款料金!$C$13,0),ROUNDDOWN(($A87+G$6)*(約款料金!$B$14+$J$4)+約款料金!$B$13,0)))</f>
        <v>32927</v>
      </c>
      <c r="H87" s="360">
        <f>IF(($A87+H$6)&gt;約款料金!$C$9,ROUNDDOWN(($A87+H$6)*(約款料金!$D$14+$J$4)+約款料金!$D$13,0),IF(($A87+H$6)&gt;約款料金!$B$9,ROUNDDOWN(($A87+H$6)*(約款料金!$C$14+$J$4)+約款料金!$C$13,0),ROUNDDOWN(($A87+H$6)*(約款料金!$B$14+$J$4)+約款料金!$B$13,0)))</f>
        <v>32967</v>
      </c>
      <c r="I87" s="360">
        <f>IF(($A87+I$6)&gt;約款料金!$C$9,ROUNDDOWN(($A87+I$6)*(約款料金!$D$14+$J$4)+約款料金!$D$13,0),IF(($A87+I$6)&gt;約款料金!$B$9,ROUNDDOWN(($A87+I$6)*(約款料金!$C$14+$J$4)+約款料金!$C$13,0),ROUNDDOWN(($A87+I$6)*(約款料金!$B$14+$J$4)+約款料金!$B$13,0)))</f>
        <v>33008</v>
      </c>
      <c r="J87" s="360">
        <f>IF(($A87+J$6)&gt;約款料金!$C$9,ROUNDDOWN(($A87+J$6)*(約款料金!$D$14+$J$4)+約款料金!$D$13,0),IF(($A87+J$6)&gt;約款料金!$B$9,ROUNDDOWN(($A87+J$6)*(約款料金!$C$14+$J$4)+約款料金!$C$13,0),ROUNDDOWN(($A87+J$6)*(約款料金!$B$14+$J$4)+約款料金!$B$13,0)))</f>
        <v>33049</v>
      </c>
      <c r="K87" s="366">
        <f>IF(($A87+K$6)&gt;約款料金!$C$9,ROUNDDOWN(($A87+K$6)*(約款料金!$D$14+$J$4)+約款料金!$D$13,0),IF(($A87+K$6)&gt;約款料金!$B$9,ROUNDDOWN(($A87+K$6)*(約款料金!$C$14+$J$4)+約款料金!$C$13,0),ROUNDDOWN(($A87+K$6)*(約款料金!$B$14+$J$4)+約款料金!$B$13,0)))</f>
        <v>33090</v>
      </c>
    </row>
    <row r="88" spans="1:11">
      <c r="A88" s="382">
        <v>75</v>
      </c>
      <c r="B88" s="371">
        <f>IF(($A88+B$6)&gt;約款料金!$C$9,ROUNDDOWN(($A88+B$6)*(約款料金!$D$14+$J$4)+約款料金!$D$13,0),IF(($A88+B$6)&gt;約款料金!$B$9,ROUNDDOWN(($A88+B$6)*(約款料金!$C$14+$J$4)+約款料金!$C$13,0),ROUNDDOWN(($A88+B$6)*(約款料金!$B$14+$J$4)+約款料金!$B$13,0)))</f>
        <v>33131</v>
      </c>
      <c r="C88" s="372">
        <f>IF(($A88+C$6)&gt;約款料金!$C$9,ROUNDDOWN(($A88+C$6)*(約款料金!$D$14+$J$4)+約款料金!$D$13,0),IF(($A88+C$6)&gt;約款料金!$B$9,ROUNDDOWN(($A88+C$6)*(約款料金!$C$14+$J$4)+約款料金!$C$13,0),ROUNDDOWN(($A88+C$6)*(約款料金!$B$14+$J$4)+約款料金!$B$13,0)))</f>
        <v>33172</v>
      </c>
      <c r="D88" s="372">
        <f>IF(($A88+D$6)&gt;約款料金!$C$9,ROUNDDOWN(($A88+D$6)*(約款料金!$D$14+$J$4)+約款料金!$D$13,0),IF(($A88+D$6)&gt;約款料金!$B$9,ROUNDDOWN(($A88+D$6)*(約款料金!$C$14+$J$4)+約款料金!$C$13,0),ROUNDDOWN(($A88+D$6)*(約款料金!$B$14+$J$4)+約款料金!$B$13,0)))</f>
        <v>33212</v>
      </c>
      <c r="E88" s="372">
        <f>IF(($A88+E$6)&gt;約款料金!$C$9,ROUNDDOWN(($A88+E$6)*(約款料金!$D$14+$J$4)+約款料金!$D$13,0),IF(($A88+E$6)&gt;約款料金!$B$9,ROUNDDOWN(($A88+E$6)*(約款料金!$C$14+$J$4)+約款料金!$C$13,0),ROUNDDOWN(($A88+E$6)*(約款料金!$B$14+$J$4)+約款料金!$B$13,0)))</f>
        <v>33253</v>
      </c>
      <c r="F88" s="372">
        <f>IF(($A88+F$6)&gt;約款料金!$C$9,ROUNDDOWN(($A88+F$6)*(約款料金!$D$14+$J$4)+約款料金!$D$13,0),IF(($A88+F$6)&gt;約款料金!$B$9,ROUNDDOWN(($A88+F$6)*(約款料金!$C$14+$J$4)+約款料金!$C$13,0),ROUNDDOWN(($A88+F$6)*(約款料金!$B$14+$J$4)+約款料金!$B$13,0)))</f>
        <v>33294</v>
      </c>
      <c r="G88" s="372">
        <f>IF(($A88+G$6)&gt;約款料金!$C$9,ROUNDDOWN(($A88+G$6)*(約款料金!$D$14+$J$4)+約款料金!$D$13,0),IF(($A88+G$6)&gt;約款料金!$B$9,ROUNDDOWN(($A88+G$6)*(約款料金!$C$14+$J$4)+約款料金!$C$13,0),ROUNDDOWN(($A88+G$6)*(約款料金!$B$14+$J$4)+約款料金!$B$13,0)))</f>
        <v>33335</v>
      </c>
      <c r="H88" s="372">
        <f>IF(($A88+H$6)&gt;約款料金!$C$9,ROUNDDOWN(($A88+H$6)*(約款料金!$D$14+$J$4)+約款料金!$D$13,0),IF(($A88+H$6)&gt;約款料金!$B$9,ROUNDDOWN(($A88+H$6)*(約款料金!$C$14+$J$4)+約款料金!$C$13,0),ROUNDDOWN(($A88+H$6)*(約款料金!$B$14+$J$4)+約款料金!$B$13,0)))</f>
        <v>33376</v>
      </c>
      <c r="I88" s="372">
        <f>IF(($A88+I$6)&gt;約款料金!$C$9,ROUNDDOWN(($A88+I$6)*(約款料金!$D$14+$J$4)+約款料金!$D$13,0),IF(($A88+I$6)&gt;約款料金!$B$9,ROUNDDOWN(($A88+I$6)*(約款料金!$C$14+$J$4)+約款料金!$C$13,0),ROUNDDOWN(($A88+I$6)*(約款料金!$B$14+$J$4)+約款料金!$B$13,0)))</f>
        <v>33416</v>
      </c>
      <c r="J88" s="372">
        <f>IF(($A88+J$6)&gt;約款料金!$C$9,ROUNDDOWN(($A88+J$6)*(約款料金!$D$14+$J$4)+約款料金!$D$13,0),IF(($A88+J$6)&gt;約款料金!$B$9,ROUNDDOWN(($A88+J$6)*(約款料金!$C$14+$J$4)+約款料金!$C$13,0),ROUNDDOWN(($A88+J$6)*(約款料金!$B$14+$J$4)+約款料金!$B$13,0)))</f>
        <v>33457</v>
      </c>
      <c r="K88" s="373">
        <f>IF(($A88+K$6)&gt;約款料金!$C$9,ROUNDDOWN(($A88+K$6)*(約款料金!$D$14+$J$4)+約款料金!$D$13,0),IF(($A88+K$6)&gt;約款料金!$B$9,ROUNDDOWN(($A88+K$6)*(約款料金!$C$14+$J$4)+約款料金!$C$13,0),ROUNDDOWN(($A88+K$6)*(約款料金!$B$14+$J$4)+約款料金!$B$13,0)))</f>
        <v>33498</v>
      </c>
    </row>
    <row r="89" spans="1:11">
      <c r="A89" s="379">
        <v>76</v>
      </c>
      <c r="B89" s="365">
        <f>IF(($A89+B$6)&gt;約款料金!$C$9,ROUNDDOWN(($A89+B$6)*(約款料金!$D$14+$J$4)+約款料金!$D$13,0),IF(($A89+B$6)&gt;約款料金!$B$9,ROUNDDOWN(($A89+B$6)*(約款料金!$C$14+$J$4)+約款料金!$C$13,0),ROUNDDOWN(($A89+B$6)*(約款料金!$B$14+$J$4)+約款料金!$B$13,0)))</f>
        <v>33539</v>
      </c>
      <c r="C89" s="360">
        <f>IF(($A89+C$6)&gt;約款料金!$C$9,ROUNDDOWN(($A89+C$6)*(約款料金!$D$14+$J$4)+約款料金!$D$13,0),IF(($A89+C$6)&gt;約款料金!$B$9,ROUNDDOWN(($A89+C$6)*(約款料金!$C$14+$J$4)+約款料金!$C$13,0),ROUNDDOWN(($A89+C$6)*(約款料金!$B$14+$J$4)+約款料金!$B$13,0)))</f>
        <v>33580</v>
      </c>
      <c r="D89" s="360">
        <f>IF(($A89+D$6)&gt;約款料金!$C$9,ROUNDDOWN(($A89+D$6)*(約款料金!$D$14+$J$4)+約款料金!$D$13,0),IF(($A89+D$6)&gt;約款料金!$B$9,ROUNDDOWN(($A89+D$6)*(約款料金!$C$14+$J$4)+約款料金!$C$13,0),ROUNDDOWN(($A89+D$6)*(約款料金!$B$14+$J$4)+約款料金!$B$13,0)))</f>
        <v>33621</v>
      </c>
      <c r="E89" s="360">
        <f>IF(($A89+E$6)&gt;約款料金!$C$9,ROUNDDOWN(($A89+E$6)*(約款料金!$D$14+$J$4)+約款料金!$D$13,0),IF(($A89+E$6)&gt;約款料金!$B$9,ROUNDDOWN(($A89+E$6)*(約款料金!$C$14+$J$4)+約款料金!$C$13,0),ROUNDDOWN(($A89+E$6)*(約款料金!$B$14+$J$4)+約款料金!$B$13,0)))</f>
        <v>33661</v>
      </c>
      <c r="F89" s="360">
        <f>IF(($A89+F$6)&gt;約款料金!$C$9,ROUNDDOWN(($A89+F$6)*(約款料金!$D$14+$J$4)+約款料金!$D$13,0),IF(($A89+F$6)&gt;約款料金!$B$9,ROUNDDOWN(($A89+F$6)*(約款料金!$C$14+$J$4)+約款料金!$C$13,0),ROUNDDOWN(($A89+F$6)*(約款料金!$B$14+$J$4)+約款料金!$B$13,0)))</f>
        <v>33702</v>
      </c>
      <c r="G89" s="360">
        <f>IF(($A89+G$6)&gt;約款料金!$C$9,ROUNDDOWN(($A89+G$6)*(約款料金!$D$14+$J$4)+約款料金!$D$13,0),IF(($A89+G$6)&gt;約款料金!$B$9,ROUNDDOWN(($A89+G$6)*(約款料金!$C$14+$J$4)+約款料金!$C$13,0),ROUNDDOWN(($A89+G$6)*(約款料金!$B$14+$J$4)+約款料金!$B$13,0)))</f>
        <v>33743</v>
      </c>
      <c r="H89" s="360">
        <f>IF(($A89+H$6)&gt;約款料金!$C$9,ROUNDDOWN(($A89+H$6)*(約款料金!$D$14+$J$4)+約款料金!$D$13,0),IF(($A89+H$6)&gt;約款料金!$B$9,ROUNDDOWN(($A89+H$6)*(約款料金!$C$14+$J$4)+約款料金!$C$13,0),ROUNDDOWN(($A89+H$6)*(約款料金!$B$14+$J$4)+約款料金!$B$13,0)))</f>
        <v>33784</v>
      </c>
      <c r="I89" s="360">
        <f>IF(($A89+I$6)&gt;約款料金!$C$9,ROUNDDOWN(($A89+I$6)*(約款料金!$D$14+$J$4)+約款料金!$D$13,0),IF(($A89+I$6)&gt;約款料金!$B$9,ROUNDDOWN(($A89+I$6)*(約款料金!$C$14+$J$4)+約款料金!$C$13,0),ROUNDDOWN(($A89+I$6)*(約款料金!$B$14+$J$4)+約款料金!$B$13,0)))</f>
        <v>33825</v>
      </c>
      <c r="J89" s="360">
        <f>IF(($A89+J$6)&gt;約款料金!$C$9,ROUNDDOWN(($A89+J$6)*(約款料金!$D$14+$J$4)+約款料金!$D$13,0),IF(($A89+J$6)&gt;約款料金!$B$9,ROUNDDOWN(($A89+J$6)*(約款料金!$C$14+$J$4)+約款料金!$C$13,0),ROUNDDOWN(($A89+J$6)*(約款料金!$B$14+$J$4)+約款料金!$B$13,0)))</f>
        <v>33865</v>
      </c>
      <c r="K89" s="366">
        <f>IF(($A89+K$6)&gt;約款料金!$C$9,ROUNDDOWN(($A89+K$6)*(約款料金!$D$14+$J$4)+約款料金!$D$13,0),IF(($A89+K$6)&gt;約款料金!$B$9,ROUNDDOWN(($A89+K$6)*(約款料金!$C$14+$J$4)+約款料金!$C$13,0),ROUNDDOWN(($A89+K$6)*(約款料金!$B$14+$J$4)+約款料金!$B$13,0)))</f>
        <v>33906</v>
      </c>
    </row>
    <row r="90" spans="1:11">
      <c r="A90" s="380">
        <v>77</v>
      </c>
      <c r="B90" s="365">
        <f>IF(($A90+B$6)&gt;約款料金!$C$9,ROUNDDOWN(($A90+B$6)*(約款料金!$D$14+$J$4)+約款料金!$D$13,0),IF(($A90+B$6)&gt;約款料金!$B$9,ROUNDDOWN(($A90+B$6)*(約款料金!$C$14+$J$4)+約款料金!$C$13,0),ROUNDDOWN(($A90+B$6)*(約款料金!$B$14+$J$4)+約款料金!$B$13,0)))</f>
        <v>33947</v>
      </c>
      <c r="C90" s="360">
        <f>IF(($A90+C$6)&gt;約款料金!$C$9,ROUNDDOWN(($A90+C$6)*(約款料金!$D$14+$J$4)+約款料金!$D$13,0),IF(($A90+C$6)&gt;約款料金!$B$9,ROUNDDOWN(($A90+C$6)*(約款料金!$C$14+$J$4)+約款料金!$C$13,0),ROUNDDOWN(($A90+C$6)*(約款料金!$B$14+$J$4)+約款料金!$B$13,0)))</f>
        <v>33988</v>
      </c>
      <c r="D90" s="360">
        <f>IF(($A90+D$6)&gt;約款料金!$C$9,ROUNDDOWN(($A90+D$6)*(約款料金!$D$14+$J$4)+約款料金!$D$13,0),IF(($A90+D$6)&gt;約款料金!$B$9,ROUNDDOWN(($A90+D$6)*(約款料金!$C$14+$J$4)+約款料金!$C$13,0),ROUNDDOWN(($A90+D$6)*(約款料金!$B$14+$J$4)+約款料金!$B$13,0)))</f>
        <v>34029</v>
      </c>
      <c r="E90" s="360">
        <f>IF(($A90+E$6)&gt;約款料金!$C$9,ROUNDDOWN(($A90+E$6)*(約款料金!$D$14+$J$4)+約款料金!$D$13,0),IF(($A90+E$6)&gt;約款料金!$B$9,ROUNDDOWN(($A90+E$6)*(約款料金!$C$14+$J$4)+約款料金!$C$13,0),ROUNDDOWN(($A90+E$6)*(約款料金!$B$14+$J$4)+約款料金!$B$13,0)))</f>
        <v>34070</v>
      </c>
      <c r="F90" s="360">
        <f>IF(($A90+F$6)&gt;約款料金!$C$9,ROUNDDOWN(($A90+F$6)*(約款料金!$D$14+$J$4)+約款料金!$D$13,0),IF(($A90+F$6)&gt;約款料金!$B$9,ROUNDDOWN(($A90+F$6)*(約款料金!$C$14+$J$4)+約款料金!$C$13,0),ROUNDDOWN(($A90+F$6)*(約款料金!$B$14+$J$4)+約款料金!$B$13,0)))</f>
        <v>34110</v>
      </c>
      <c r="G90" s="360">
        <f>IF(($A90+G$6)&gt;約款料金!$C$9,ROUNDDOWN(($A90+G$6)*(約款料金!$D$14+$J$4)+約款料金!$D$13,0),IF(($A90+G$6)&gt;約款料金!$B$9,ROUNDDOWN(($A90+G$6)*(約款料金!$C$14+$J$4)+約款料金!$C$13,0),ROUNDDOWN(($A90+G$6)*(約款料金!$B$14+$J$4)+約款料金!$B$13,0)))</f>
        <v>34151</v>
      </c>
      <c r="H90" s="360">
        <f>IF(($A90+H$6)&gt;約款料金!$C$9,ROUNDDOWN(($A90+H$6)*(約款料金!$D$14+$J$4)+約款料金!$D$13,0),IF(($A90+H$6)&gt;約款料金!$B$9,ROUNDDOWN(($A90+H$6)*(約款料金!$C$14+$J$4)+約款料金!$C$13,0),ROUNDDOWN(($A90+H$6)*(約款料金!$B$14+$J$4)+約款料金!$B$13,0)))</f>
        <v>34192</v>
      </c>
      <c r="I90" s="360">
        <f>IF(($A90+I$6)&gt;約款料金!$C$9,ROUNDDOWN(($A90+I$6)*(約款料金!$D$14+$J$4)+約款料金!$D$13,0),IF(($A90+I$6)&gt;約款料金!$B$9,ROUNDDOWN(($A90+I$6)*(約款料金!$C$14+$J$4)+約款料金!$C$13,0),ROUNDDOWN(($A90+I$6)*(約款料金!$B$14+$J$4)+約款料金!$B$13,0)))</f>
        <v>34233</v>
      </c>
      <c r="J90" s="360">
        <f>IF(($A90+J$6)&gt;約款料金!$C$9,ROUNDDOWN(($A90+J$6)*(約款料金!$D$14+$J$4)+約款料金!$D$13,0),IF(($A90+J$6)&gt;約款料金!$B$9,ROUNDDOWN(($A90+J$6)*(約款料金!$C$14+$J$4)+約款料金!$C$13,0),ROUNDDOWN(($A90+J$6)*(約款料金!$B$14+$J$4)+約款料金!$B$13,0)))</f>
        <v>34274</v>
      </c>
      <c r="K90" s="366">
        <f>IF(($A90+K$6)&gt;約款料金!$C$9,ROUNDDOWN(($A90+K$6)*(約款料金!$D$14+$J$4)+約款料金!$D$13,0),IF(($A90+K$6)&gt;約款料金!$B$9,ROUNDDOWN(($A90+K$6)*(約款料金!$C$14+$J$4)+約款料金!$C$13,0),ROUNDDOWN(($A90+K$6)*(約款料金!$B$14+$J$4)+約款料金!$B$13,0)))</f>
        <v>34314</v>
      </c>
    </row>
    <row r="91" spans="1:11">
      <c r="A91" s="380">
        <v>78</v>
      </c>
      <c r="B91" s="365">
        <f>IF(($A91+B$6)&gt;約款料金!$C$9,ROUNDDOWN(($A91+B$6)*(約款料金!$D$14+$J$4)+約款料金!$D$13,0),IF(($A91+B$6)&gt;約款料金!$B$9,ROUNDDOWN(($A91+B$6)*(約款料金!$C$14+$J$4)+約款料金!$C$13,0),ROUNDDOWN(($A91+B$6)*(約款料金!$B$14+$J$4)+約款料金!$B$13,0)))</f>
        <v>34355</v>
      </c>
      <c r="C91" s="360">
        <f>IF(($A91+C$6)&gt;約款料金!$C$9,ROUNDDOWN(($A91+C$6)*(約款料金!$D$14+$J$4)+約款料金!$D$13,0),IF(($A91+C$6)&gt;約款料金!$B$9,ROUNDDOWN(($A91+C$6)*(約款料金!$C$14+$J$4)+約款料金!$C$13,0),ROUNDDOWN(($A91+C$6)*(約款料金!$B$14+$J$4)+約款料金!$B$13,0)))</f>
        <v>34396</v>
      </c>
      <c r="D91" s="360">
        <f>IF(($A91+D$6)&gt;約款料金!$C$9,ROUNDDOWN(($A91+D$6)*(約款料金!$D$14+$J$4)+約款料金!$D$13,0),IF(($A91+D$6)&gt;約款料金!$B$9,ROUNDDOWN(($A91+D$6)*(約款料金!$C$14+$J$4)+約款料金!$C$13,0),ROUNDDOWN(($A91+D$6)*(約款料金!$B$14+$J$4)+約款料金!$B$13,0)))</f>
        <v>34437</v>
      </c>
      <c r="E91" s="360">
        <f>IF(($A91+E$6)&gt;約款料金!$C$9,ROUNDDOWN(($A91+E$6)*(約款料金!$D$14+$J$4)+約款料金!$D$13,0),IF(($A91+E$6)&gt;約款料金!$B$9,ROUNDDOWN(($A91+E$6)*(約款料金!$C$14+$J$4)+約款料金!$C$13,0),ROUNDDOWN(($A91+E$6)*(約款料金!$B$14+$J$4)+約款料金!$B$13,0)))</f>
        <v>34478</v>
      </c>
      <c r="F91" s="360">
        <f>IF(($A91+F$6)&gt;約款料金!$C$9,ROUNDDOWN(($A91+F$6)*(約款料金!$D$14+$J$4)+約款料金!$D$13,0),IF(($A91+F$6)&gt;約款料金!$B$9,ROUNDDOWN(($A91+F$6)*(約款料金!$C$14+$J$4)+約款料金!$C$13,0),ROUNDDOWN(($A91+F$6)*(約款料金!$B$14+$J$4)+約款料金!$B$13,0)))</f>
        <v>34519</v>
      </c>
      <c r="G91" s="360">
        <f>IF(($A91+G$6)&gt;約款料金!$C$9,ROUNDDOWN(($A91+G$6)*(約款料金!$D$14+$J$4)+約款料金!$D$13,0),IF(($A91+G$6)&gt;約款料金!$B$9,ROUNDDOWN(($A91+G$6)*(約款料金!$C$14+$J$4)+約款料金!$C$13,0),ROUNDDOWN(($A91+G$6)*(約款料金!$B$14+$J$4)+約款料金!$B$13,0)))</f>
        <v>34559</v>
      </c>
      <c r="H91" s="360">
        <f>IF(($A91+H$6)&gt;約款料金!$C$9,ROUNDDOWN(($A91+H$6)*(約款料金!$D$14+$J$4)+約款料金!$D$13,0),IF(($A91+H$6)&gt;約款料金!$B$9,ROUNDDOWN(($A91+H$6)*(約款料金!$C$14+$J$4)+約款料金!$C$13,0),ROUNDDOWN(($A91+H$6)*(約款料金!$B$14+$J$4)+約款料金!$B$13,0)))</f>
        <v>34600</v>
      </c>
      <c r="I91" s="360">
        <f>IF(($A91+I$6)&gt;約款料金!$C$9,ROUNDDOWN(($A91+I$6)*(約款料金!$D$14+$J$4)+約款料金!$D$13,0),IF(($A91+I$6)&gt;約款料金!$B$9,ROUNDDOWN(($A91+I$6)*(約款料金!$C$14+$J$4)+約款料金!$C$13,0),ROUNDDOWN(($A91+I$6)*(約款料金!$B$14+$J$4)+約款料金!$B$13,0)))</f>
        <v>34641</v>
      </c>
      <c r="J91" s="360">
        <f>IF(($A91+J$6)&gt;約款料金!$C$9,ROUNDDOWN(($A91+J$6)*(約款料金!$D$14+$J$4)+約款料金!$D$13,0),IF(($A91+J$6)&gt;約款料金!$B$9,ROUNDDOWN(($A91+J$6)*(約款料金!$C$14+$J$4)+約款料金!$C$13,0),ROUNDDOWN(($A91+J$6)*(約款料金!$B$14+$J$4)+約款料金!$B$13,0)))</f>
        <v>34682</v>
      </c>
      <c r="K91" s="366">
        <f>IF(($A91+K$6)&gt;約款料金!$C$9,ROUNDDOWN(($A91+K$6)*(約款料金!$D$14+$J$4)+約款料金!$D$13,0),IF(($A91+K$6)&gt;約款料金!$B$9,ROUNDDOWN(($A91+K$6)*(約款料金!$C$14+$J$4)+約款料金!$C$13,0),ROUNDDOWN(($A91+K$6)*(約款料金!$B$14+$J$4)+約款料金!$B$13,0)))</f>
        <v>34723</v>
      </c>
    </row>
    <row r="92" spans="1:11">
      <c r="A92" s="380">
        <v>79</v>
      </c>
      <c r="B92" s="365">
        <f>IF(($A92+B$6)&gt;約款料金!$C$9,ROUNDDOWN(($A92+B$6)*(約款料金!$D$14+$J$4)+約款料金!$D$13,0),IF(($A92+B$6)&gt;約款料金!$B$9,ROUNDDOWN(($A92+B$6)*(約款料金!$C$14+$J$4)+約款料金!$C$13,0),ROUNDDOWN(($A92+B$6)*(約款料金!$B$14+$J$4)+約款料金!$B$13,0)))</f>
        <v>34764</v>
      </c>
      <c r="C92" s="360">
        <f>IF(($A92+C$6)&gt;約款料金!$C$9,ROUNDDOWN(($A92+C$6)*(約款料金!$D$14+$J$4)+約款料金!$D$13,0),IF(($A92+C$6)&gt;約款料金!$B$9,ROUNDDOWN(($A92+C$6)*(約款料金!$C$14+$J$4)+約款料金!$C$13,0),ROUNDDOWN(($A92+C$6)*(約款料金!$B$14+$J$4)+約款料金!$B$13,0)))</f>
        <v>34804</v>
      </c>
      <c r="D92" s="360">
        <f>IF(($A92+D$6)&gt;約款料金!$C$9,ROUNDDOWN(($A92+D$6)*(約款料金!$D$14+$J$4)+約款料金!$D$13,0),IF(($A92+D$6)&gt;約款料金!$B$9,ROUNDDOWN(($A92+D$6)*(約款料金!$C$14+$J$4)+約款料金!$C$13,0),ROUNDDOWN(($A92+D$6)*(約款料金!$B$14+$J$4)+約款料金!$B$13,0)))</f>
        <v>34845</v>
      </c>
      <c r="E92" s="360">
        <f>IF(($A92+E$6)&gt;約款料金!$C$9,ROUNDDOWN(($A92+E$6)*(約款料金!$D$14+$J$4)+約款料金!$D$13,0),IF(($A92+E$6)&gt;約款料金!$B$9,ROUNDDOWN(($A92+E$6)*(約款料金!$C$14+$J$4)+約款料金!$C$13,0),ROUNDDOWN(($A92+E$6)*(約款料金!$B$14+$J$4)+約款料金!$B$13,0)))</f>
        <v>34886</v>
      </c>
      <c r="F92" s="360">
        <f>IF(($A92+F$6)&gt;約款料金!$C$9,ROUNDDOWN(($A92+F$6)*(約款料金!$D$14+$J$4)+約款料金!$D$13,0),IF(($A92+F$6)&gt;約款料金!$B$9,ROUNDDOWN(($A92+F$6)*(約款料金!$C$14+$J$4)+約款料金!$C$13,0),ROUNDDOWN(($A92+F$6)*(約款料金!$B$14+$J$4)+約款料金!$B$13,0)))</f>
        <v>34927</v>
      </c>
      <c r="G92" s="360">
        <f>IF(($A92+G$6)&gt;約款料金!$C$9,ROUNDDOWN(($A92+G$6)*(約款料金!$D$14+$J$4)+約款料金!$D$13,0),IF(($A92+G$6)&gt;約款料金!$B$9,ROUNDDOWN(($A92+G$6)*(約款料金!$C$14+$J$4)+約款料金!$C$13,0),ROUNDDOWN(($A92+G$6)*(約款料金!$B$14+$J$4)+約款料金!$B$13,0)))</f>
        <v>34968</v>
      </c>
      <c r="H92" s="360">
        <f>IF(($A92+H$6)&gt;約款料金!$C$9,ROUNDDOWN(($A92+H$6)*(約款料金!$D$14+$J$4)+約款料金!$D$13,0),IF(($A92+H$6)&gt;約款料金!$B$9,ROUNDDOWN(($A92+H$6)*(約款料金!$C$14+$J$4)+約款料金!$C$13,0),ROUNDDOWN(($A92+H$6)*(約款料金!$B$14+$J$4)+約款料金!$B$13,0)))</f>
        <v>35008</v>
      </c>
      <c r="I92" s="360">
        <f>IF(($A92+I$6)&gt;約款料金!$C$9,ROUNDDOWN(($A92+I$6)*(約款料金!$D$14+$J$4)+約款料金!$D$13,0),IF(($A92+I$6)&gt;約款料金!$B$9,ROUNDDOWN(($A92+I$6)*(約款料金!$C$14+$J$4)+約款料金!$C$13,0),ROUNDDOWN(($A92+I$6)*(約款料金!$B$14+$J$4)+約款料金!$B$13,0)))</f>
        <v>35049</v>
      </c>
      <c r="J92" s="360">
        <f>IF(($A92+J$6)&gt;約款料金!$C$9,ROUNDDOWN(($A92+J$6)*(約款料金!$D$14+$J$4)+約款料金!$D$13,0),IF(($A92+J$6)&gt;約款料金!$B$9,ROUNDDOWN(($A92+J$6)*(約款料金!$C$14+$J$4)+約款料金!$C$13,0),ROUNDDOWN(($A92+J$6)*(約款料金!$B$14+$J$4)+約款料金!$B$13,0)))</f>
        <v>35090</v>
      </c>
      <c r="K92" s="366">
        <f>IF(($A92+K$6)&gt;約款料金!$C$9,ROUNDDOWN(($A92+K$6)*(約款料金!$D$14+$J$4)+約款料金!$D$13,0),IF(($A92+K$6)&gt;約款料金!$B$9,ROUNDDOWN(($A92+K$6)*(約款料金!$C$14+$J$4)+約款料金!$C$13,0),ROUNDDOWN(($A92+K$6)*(約款料金!$B$14+$J$4)+約款料金!$B$13,0)))</f>
        <v>35131</v>
      </c>
    </row>
    <row r="93" spans="1:11">
      <c r="A93" s="382">
        <v>80</v>
      </c>
      <c r="B93" s="371">
        <f>IF(($A93+B$6)&gt;約款料金!$C$9,ROUNDDOWN(($A93+B$6)*(約款料金!$D$14+$J$4)+約款料金!$D$13,0),IF(($A93+B$6)&gt;約款料金!$B$9,ROUNDDOWN(($A93+B$6)*(約款料金!$C$14+$J$4)+約款料金!$C$13,0),ROUNDDOWN(($A93+B$6)*(約款料金!$B$14+$J$4)+約款料金!$B$13,0)))</f>
        <v>35172</v>
      </c>
      <c r="C93" s="372">
        <f>IF(($A93+C$6)&gt;約款料金!$C$9,ROUNDDOWN(($A93+C$6)*(約款料金!$D$14+$J$4)+約款料金!$D$13,0),IF(($A93+C$6)&gt;約款料金!$B$9,ROUNDDOWN(($A93+C$6)*(約款料金!$C$14+$J$4)+約款料金!$C$13,0),ROUNDDOWN(($A93+C$6)*(約款料金!$B$14+$J$4)+約款料金!$B$13,0)))</f>
        <v>35213</v>
      </c>
      <c r="D93" s="372">
        <f>IF(($A93+D$6)&gt;約款料金!$C$9,ROUNDDOWN(($A93+D$6)*(約款料金!$D$14+$J$4)+約款料金!$D$13,0),IF(($A93+D$6)&gt;約款料金!$B$9,ROUNDDOWN(($A93+D$6)*(約款料金!$C$14+$J$4)+約款料金!$C$13,0),ROUNDDOWN(($A93+D$6)*(約款料金!$B$14+$J$4)+約款料金!$B$13,0)))</f>
        <v>35253</v>
      </c>
      <c r="E93" s="372">
        <f>IF(($A93+E$6)&gt;約款料金!$C$9,ROUNDDOWN(($A93+E$6)*(約款料金!$D$14+$J$4)+約款料金!$D$13,0),IF(($A93+E$6)&gt;約款料金!$B$9,ROUNDDOWN(($A93+E$6)*(約款料金!$C$14+$J$4)+約款料金!$C$13,0),ROUNDDOWN(($A93+E$6)*(約款料金!$B$14+$J$4)+約款料金!$B$13,0)))</f>
        <v>35294</v>
      </c>
      <c r="F93" s="372">
        <f>IF(($A93+F$6)&gt;約款料金!$C$9,ROUNDDOWN(($A93+F$6)*(約款料金!$D$14+$J$4)+約款料金!$D$13,0),IF(($A93+F$6)&gt;約款料金!$B$9,ROUNDDOWN(($A93+F$6)*(約款料金!$C$14+$J$4)+約款料金!$C$13,0),ROUNDDOWN(($A93+F$6)*(約款料金!$B$14+$J$4)+約款料金!$B$13,0)))</f>
        <v>35335</v>
      </c>
      <c r="G93" s="372">
        <f>IF(($A93+G$6)&gt;約款料金!$C$9,ROUNDDOWN(($A93+G$6)*(約款料金!$D$14+$J$4)+約款料金!$D$13,0),IF(($A93+G$6)&gt;約款料金!$B$9,ROUNDDOWN(($A93+G$6)*(約款料金!$C$14+$J$4)+約款料金!$C$13,0),ROUNDDOWN(($A93+G$6)*(約款料金!$B$14+$J$4)+約款料金!$B$13,0)))</f>
        <v>35376</v>
      </c>
      <c r="H93" s="372">
        <f>IF(($A93+H$6)&gt;約款料金!$C$9,ROUNDDOWN(($A93+H$6)*(約款料金!$D$14+$J$4)+約款料金!$D$13,0),IF(($A93+H$6)&gt;約款料金!$B$9,ROUNDDOWN(($A93+H$6)*(約款料金!$C$14+$J$4)+約款料金!$C$13,0),ROUNDDOWN(($A93+H$6)*(約款料金!$B$14+$J$4)+約款料金!$B$13,0)))</f>
        <v>35417</v>
      </c>
      <c r="I93" s="372">
        <f>IF(($A93+I$6)&gt;約款料金!$C$9,ROUNDDOWN(($A93+I$6)*(約款料金!$D$14+$J$4)+約款料金!$D$13,0),IF(($A93+I$6)&gt;約款料金!$B$9,ROUNDDOWN(($A93+I$6)*(約款料金!$C$14+$J$4)+約款料金!$C$13,0),ROUNDDOWN(($A93+I$6)*(約款料金!$B$14+$J$4)+約款料金!$B$13,0)))</f>
        <v>35457</v>
      </c>
      <c r="J93" s="372">
        <f>IF(($A93+J$6)&gt;約款料金!$C$9,ROUNDDOWN(($A93+J$6)*(約款料金!$D$14+$J$4)+約款料金!$D$13,0),IF(($A93+J$6)&gt;約款料金!$B$9,ROUNDDOWN(($A93+J$6)*(約款料金!$C$14+$J$4)+約款料金!$C$13,0),ROUNDDOWN(($A93+J$6)*(約款料金!$B$14+$J$4)+約款料金!$B$13,0)))</f>
        <v>35498</v>
      </c>
      <c r="K93" s="373">
        <f>IF(($A93+K$6)&gt;約款料金!$C$9,ROUNDDOWN(($A93+K$6)*(約款料金!$D$14+$J$4)+約款料金!$D$13,0),IF(($A93+K$6)&gt;約款料金!$B$9,ROUNDDOWN(($A93+K$6)*(約款料金!$C$14+$J$4)+約款料金!$C$13,0),ROUNDDOWN(($A93+K$6)*(約款料金!$B$14+$J$4)+約款料金!$B$13,0)))</f>
        <v>35539</v>
      </c>
    </row>
    <row r="94" spans="1:11">
      <c r="A94" s="379">
        <v>81</v>
      </c>
      <c r="B94" s="365">
        <f>IF(($A94+B$6)&gt;約款料金!$C$9,ROUNDDOWN(($A94+B$6)*(約款料金!$D$14+$J$4)+約款料金!$D$13,0),IF(($A94+B$6)&gt;約款料金!$B$9,ROUNDDOWN(($A94+B$6)*(約款料金!$C$14+$J$4)+約款料金!$C$13,0),ROUNDDOWN(($A94+B$6)*(約款料金!$B$14+$J$4)+約款料金!$B$13,0)))</f>
        <v>35580</v>
      </c>
      <c r="C94" s="360">
        <f>IF(($A94+C$6)&gt;約款料金!$C$9,ROUNDDOWN(($A94+C$6)*(約款料金!$D$14+$J$4)+約款料金!$D$13,0),IF(($A94+C$6)&gt;約款料金!$B$9,ROUNDDOWN(($A94+C$6)*(約款料金!$C$14+$J$4)+約款料金!$C$13,0),ROUNDDOWN(($A94+C$6)*(約款料金!$B$14+$J$4)+約款料金!$B$13,0)))</f>
        <v>35621</v>
      </c>
      <c r="D94" s="360">
        <f>IF(($A94+D$6)&gt;約款料金!$C$9,ROUNDDOWN(($A94+D$6)*(約款料金!$D$14+$J$4)+約款料金!$D$13,0),IF(($A94+D$6)&gt;約款料金!$B$9,ROUNDDOWN(($A94+D$6)*(約款料金!$C$14+$J$4)+約款料金!$C$13,0),ROUNDDOWN(($A94+D$6)*(約款料金!$B$14+$J$4)+約款料金!$B$13,0)))</f>
        <v>35662</v>
      </c>
      <c r="E94" s="360">
        <f>IF(($A94+E$6)&gt;約款料金!$C$9,ROUNDDOWN(($A94+E$6)*(約款料金!$D$14+$J$4)+約款料金!$D$13,0),IF(($A94+E$6)&gt;約款料金!$B$9,ROUNDDOWN(($A94+E$6)*(約款料金!$C$14+$J$4)+約款料金!$C$13,0),ROUNDDOWN(($A94+E$6)*(約款料金!$B$14+$J$4)+約款料金!$B$13,0)))</f>
        <v>35702</v>
      </c>
      <c r="F94" s="360">
        <f>IF(($A94+F$6)&gt;約款料金!$C$9,ROUNDDOWN(($A94+F$6)*(約款料金!$D$14+$J$4)+約款料金!$D$13,0),IF(($A94+F$6)&gt;約款料金!$B$9,ROUNDDOWN(($A94+F$6)*(約款料金!$C$14+$J$4)+約款料金!$C$13,0),ROUNDDOWN(($A94+F$6)*(約款料金!$B$14+$J$4)+約款料金!$B$13,0)))</f>
        <v>35743</v>
      </c>
      <c r="G94" s="360">
        <f>IF(($A94+G$6)&gt;約款料金!$C$9,ROUNDDOWN(($A94+G$6)*(約款料金!$D$14+$J$4)+約款料金!$D$13,0),IF(($A94+G$6)&gt;約款料金!$B$9,ROUNDDOWN(($A94+G$6)*(約款料金!$C$14+$J$4)+約款料金!$C$13,0),ROUNDDOWN(($A94+G$6)*(約款料金!$B$14+$J$4)+約款料金!$B$13,0)))</f>
        <v>35784</v>
      </c>
      <c r="H94" s="360">
        <f>IF(($A94+H$6)&gt;約款料金!$C$9,ROUNDDOWN(($A94+H$6)*(約款料金!$D$14+$J$4)+約款料金!$D$13,0),IF(($A94+H$6)&gt;約款料金!$B$9,ROUNDDOWN(($A94+H$6)*(約款料金!$C$14+$J$4)+約款料金!$C$13,0),ROUNDDOWN(($A94+H$6)*(約款料金!$B$14+$J$4)+約款料金!$B$13,0)))</f>
        <v>35825</v>
      </c>
      <c r="I94" s="360">
        <f>IF(($A94+I$6)&gt;約款料金!$C$9,ROUNDDOWN(($A94+I$6)*(約款料金!$D$14+$J$4)+約款料金!$D$13,0),IF(($A94+I$6)&gt;約款料金!$B$9,ROUNDDOWN(($A94+I$6)*(約款料金!$C$14+$J$4)+約款料金!$C$13,0),ROUNDDOWN(($A94+I$6)*(約款料金!$B$14+$J$4)+約款料金!$B$13,0)))</f>
        <v>35866</v>
      </c>
      <c r="J94" s="360">
        <f>IF(($A94+J$6)&gt;約款料金!$C$9,ROUNDDOWN(($A94+J$6)*(約款料金!$D$14+$J$4)+約款料金!$D$13,0),IF(($A94+J$6)&gt;約款料金!$B$9,ROUNDDOWN(($A94+J$6)*(約款料金!$C$14+$J$4)+約款料金!$C$13,0),ROUNDDOWN(($A94+J$6)*(約款料金!$B$14+$J$4)+約款料金!$B$13,0)))</f>
        <v>35906</v>
      </c>
      <c r="K94" s="366">
        <f>IF(($A94+K$6)&gt;約款料金!$C$9,ROUNDDOWN(($A94+K$6)*(約款料金!$D$14+$J$4)+約款料金!$D$13,0),IF(($A94+K$6)&gt;約款料金!$B$9,ROUNDDOWN(($A94+K$6)*(約款料金!$C$14+$J$4)+約款料金!$C$13,0),ROUNDDOWN(($A94+K$6)*(約款料金!$B$14+$J$4)+約款料金!$B$13,0)))</f>
        <v>35947</v>
      </c>
    </row>
    <row r="95" spans="1:11">
      <c r="A95" s="380">
        <v>82</v>
      </c>
      <c r="B95" s="365">
        <f>IF(($A95+B$6)&gt;約款料金!$C$9,ROUNDDOWN(($A95+B$6)*(約款料金!$D$14+$J$4)+約款料金!$D$13,0),IF(($A95+B$6)&gt;約款料金!$B$9,ROUNDDOWN(($A95+B$6)*(約款料金!$C$14+$J$4)+約款料金!$C$13,0),ROUNDDOWN(($A95+B$6)*(約款料金!$B$14+$J$4)+約款料金!$B$13,0)))</f>
        <v>35988</v>
      </c>
      <c r="C95" s="360">
        <f>IF(($A95+C$6)&gt;約款料金!$C$9,ROUNDDOWN(($A95+C$6)*(約款料金!$D$14+$J$4)+約款料金!$D$13,0),IF(($A95+C$6)&gt;約款料金!$B$9,ROUNDDOWN(($A95+C$6)*(約款料金!$C$14+$J$4)+約款料金!$C$13,0),ROUNDDOWN(($A95+C$6)*(約款料金!$B$14+$J$4)+約款料金!$B$13,0)))</f>
        <v>36029</v>
      </c>
      <c r="D95" s="360">
        <f>IF(($A95+D$6)&gt;約款料金!$C$9,ROUNDDOWN(($A95+D$6)*(約款料金!$D$14+$J$4)+約款料金!$D$13,0),IF(($A95+D$6)&gt;約款料金!$B$9,ROUNDDOWN(($A95+D$6)*(約款料金!$C$14+$J$4)+約款料金!$C$13,0),ROUNDDOWN(($A95+D$6)*(約款料金!$B$14+$J$4)+約款料金!$B$13,0)))</f>
        <v>36070</v>
      </c>
      <c r="E95" s="360">
        <f>IF(($A95+E$6)&gt;約款料金!$C$9,ROUNDDOWN(($A95+E$6)*(約款料金!$D$14+$J$4)+約款料金!$D$13,0),IF(($A95+E$6)&gt;約款料金!$B$9,ROUNDDOWN(($A95+E$6)*(約款料金!$C$14+$J$4)+約款料金!$C$13,0),ROUNDDOWN(($A95+E$6)*(約款料金!$B$14+$J$4)+約款料金!$B$13,0)))</f>
        <v>36111</v>
      </c>
      <c r="F95" s="360">
        <f>IF(($A95+F$6)&gt;約款料金!$C$9,ROUNDDOWN(($A95+F$6)*(約款料金!$D$14+$J$4)+約款料金!$D$13,0),IF(($A95+F$6)&gt;約款料金!$B$9,ROUNDDOWN(($A95+F$6)*(約款料金!$C$14+$J$4)+約款料金!$C$13,0),ROUNDDOWN(($A95+F$6)*(約款料金!$B$14+$J$4)+約款料金!$B$13,0)))</f>
        <v>36151</v>
      </c>
      <c r="G95" s="360">
        <f>IF(($A95+G$6)&gt;約款料金!$C$9,ROUNDDOWN(($A95+G$6)*(約款料金!$D$14+$J$4)+約款料金!$D$13,0),IF(($A95+G$6)&gt;約款料金!$B$9,ROUNDDOWN(($A95+G$6)*(約款料金!$C$14+$J$4)+約款料金!$C$13,0),ROUNDDOWN(($A95+G$6)*(約款料金!$B$14+$J$4)+約款料金!$B$13,0)))</f>
        <v>36192</v>
      </c>
      <c r="H95" s="360">
        <f>IF(($A95+H$6)&gt;約款料金!$C$9,ROUNDDOWN(($A95+H$6)*(約款料金!$D$14+$J$4)+約款料金!$D$13,0),IF(($A95+H$6)&gt;約款料金!$B$9,ROUNDDOWN(($A95+H$6)*(約款料金!$C$14+$J$4)+約款料金!$C$13,0),ROUNDDOWN(($A95+H$6)*(約款料金!$B$14+$J$4)+約款料金!$B$13,0)))</f>
        <v>36233</v>
      </c>
      <c r="I95" s="360">
        <f>IF(($A95+I$6)&gt;約款料金!$C$9,ROUNDDOWN(($A95+I$6)*(約款料金!$D$14+$J$4)+約款料金!$D$13,0),IF(($A95+I$6)&gt;約款料金!$B$9,ROUNDDOWN(($A95+I$6)*(約款料金!$C$14+$J$4)+約款料金!$C$13,0),ROUNDDOWN(($A95+I$6)*(約款料金!$B$14+$J$4)+約款料金!$B$13,0)))</f>
        <v>36274</v>
      </c>
      <c r="J95" s="360">
        <f>IF(($A95+J$6)&gt;約款料金!$C$9,ROUNDDOWN(($A95+J$6)*(約款料金!$D$14+$J$4)+約款料金!$D$13,0),IF(($A95+J$6)&gt;約款料金!$B$9,ROUNDDOWN(($A95+J$6)*(約款料金!$C$14+$J$4)+約款料金!$C$13,0),ROUNDDOWN(($A95+J$6)*(約款料金!$B$14+$J$4)+約款料金!$B$13,0)))</f>
        <v>36315</v>
      </c>
      <c r="K95" s="366">
        <f>IF(($A95+K$6)&gt;約款料金!$C$9,ROUNDDOWN(($A95+K$6)*(約款料金!$D$14+$J$4)+約款料金!$D$13,0),IF(($A95+K$6)&gt;約款料金!$B$9,ROUNDDOWN(($A95+K$6)*(約款料金!$C$14+$J$4)+約款料金!$C$13,0),ROUNDDOWN(($A95+K$6)*(約款料金!$B$14+$J$4)+約款料金!$B$13,0)))</f>
        <v>36355</v>
      </c>
    </row>
    <row r="96" spans="1:11">
      <c r="A96" s="380">
        <v>83</v>
      </c>
      <c r="B96" s="365">
        <f>IF(($A96+B$6)&gt;約款料金!$C$9,ROUNDDOWN(($A96+B$6)*(約款料金!$D$14+$J$4)+約款料金!$D$13,0),IF(($A96+B$6)&gt;約款料金!$B$9,ROUNDDOWN(($A96+B$6)*(約款料金!$C$14+$J$4)+約款料金!$C$13,0),ROUNDDOWN(($A96+B$6)*(約款料金!$B$14+$J$4)+約款料金!$B$13,0)))</f>
        <v>36396</v>
      </c>
      <c r="C96" s="360">
        <f>IF(($A96+C$6)&gt;約款料金!$C$9,ROUNDDOWN(($A96+C$6)*(約款料金!$D$14+$J$4)+約款料金!$D$13,0),IF(($A96+C$6)&gt;約款料金!$B$9,ROUNDDOWN(($A96+C$6)*(約款料金!$C$14+$J$4)+約款料金!$C$13,0),ROUNDDOWN(($A96+C$6)*(約款料金!$B$14+$J$4)+約款料金!$B$13,0)))</f>
        <v>36437</v>
      </c>
      <c r="D96" s="360">
        <f>IF(($A96+D$6)&gt;約款料金!$C$9,ROUNDDOWN(($A96+D$6)*(約款料金!$D$14+$J$4)+約款料金!$D$13,0),IF(($A96+D$6)&gt;約款料金!$B$9,ROUNDDOWN(($A96+D$6)*(約款料金!$C$14+$J$4)+約款料金!$C$13,0),ROUNDDOWN(($A96+D$6)*(約款料金!$B$14+$J$4)+約款料金!$B$13,0)))</f>
        <v>36478</v>
      </c>
      <c r="E96" s="360">
        <f>IF(($A96+E$6)&gt;約款料金!$C$9,ROUNDDOWN(($A96+E$6)*(約款料金!$D$14+$J$4)+約款料金!$D$13,0),IF(($A96+E$6)&gt;約款料金!$B$9,ROUNDDOWN(($A96+E$6)*(約款料金!$C$14+$J$4)+約款料金!$C$13,0),ROUNDDOWN(($A96+E$6)*(約款料金!$B$14+$J$4)+約款料金!$B$13,0)))</f>
        <v>36519</v>
      </c>
      <c r="F96" s="360">
        <f>IF(($A96+F$6)&gt;約款料金!$C$9,ROUNDDOWN(($A96+F$6)*(約款料金!$D$14+$J$4)+約款料金!$D$13,0),IF(($A96+F$6)&gt;約款料金!$B$9,ROUNDDOWN(($A96+F$6)*(約款料金!$C$14+$J$4)+約款料金!$C$13,0),ROUNDDOWN(($A96+F$6)*(約款料金!$B$14+$J$4)+約款料金!$B$13,0)))</f>
        <v>36560</v>
      </c>
      <c r="G96" s="360">
        <f>IF(($A96+G$6)&gt;約款料金!$C$9,ROUNDDOWN(($A96+G$6)*(約款料金!$D$14+$J$4)+約款料金!$D$13,0),IF(($A96+G$6)&gt;約款料金!$B$9,ROUNDDOWN(($A96+G$6)*(約款料金!$C$14+$J$4)+約款料金!$C$13,0),ROUNDDOWN(($A96+G$6)*(約款料金!$B$14+$J$4)+約款料金!$B$13,0)))</f>
        <v>36600</v>
      </c>
      <c r="H96" s="360">
        <f>IF(($A96+H$6)&gt;約款料金!$C$9,ROUNDDOWN(($A96+H$6)*(約款料金!$D$14+$J$4)+約款料金!$D$13,0),IF(($A96+H$6)&gt;約款料金!$B$9,ROUNDDOWN(($A96+H$6)*(約款料金!$C$14+$J$4)+約款料金!$C$13,0),ROUNDDOWN(($A96+H$6)*(約款料金!$B$14+$J$4)+約款料金!$B$13,0)))</f>
        <v>36641</v>
      </c>
      <c r="I96" s="360">
        <f>IF(($A96+I$6)&gt;約款料金!$C$9,ROUNDDOWN(($A96+I$6)*(約款料金!$D$14+$J$4)+約款料金!$D$13,0),IF(($A96+I$6)&gt;約款料金!$B$9,ROUNDDOWN(($A96+I$6)*(約款料金!$C$14+$J$4)+約款料金!$C$13,0),ROUNDDOWN(($A96+I$6)*(約款料金!$B$14+$J$4)+約款料金!$B$13,0)))</f>
        <v>36682</v>
      </c>
      <c r="J96" s="360">
        <f>IF(($A96+J$6)&gt;約款料金!$C$9,ROUNDDOWN(($A96+J$6)*(約款料金!$D$14+$J$4)+約款料金!$D$13,0),IF(($A96+J$6)&gt;約款料金!$B$9,ROUNDDOWN(($A96+J$6)*(約款料金!$C$14+$J$4)+約款料金!$C$13,0),ROUNDDOWN(($A96+J$6)*(約款料金!$B$14+$J$4)+約款料金!$B$13,0)))</f>
        <v>36723</v>
      </c>
      <c r="K96" s="366">
        <f>IF(($A96+K$6)&gt;約款料金!$C$9,ROUNDDOWN(($A96+K$6)*(約款料金!$D$14+$J$4)+約款料金!$D$13,0),IF(($A96+K$6)&gt;約款料金!$B$9,ROUNDDOWN(($A96+K$6)*(約款料金!$C$14+$J$4)+約款料金!$C$13,0),ROUNDDOWN(($A96+K$6)*(約款料金!$B$14+$J$4)+約款料金!$B$13,0)))</f>
        <v>36764</v>
      </c>
    </row>
    <row r="97" spans="1:11">
      <c r="A97" s="380">
        <v>84</v>
      </c>
      <c r="B97" s="365">
        <f>IF(($A97+B$6)&gt;約款料金!$C$9,ROUNDDOWN(($A97+B$6)*(約款料金!$D$14+$J$4)+約款料金!$D$13,0),IF(($A97+B$6)&gt;約款料金!$B$9,ROUNDDOWN(($A97+B$6)*(約款料金!$C$14+$J$4)+約款料金!$C$13,0),ROUNDDOWN(($A97+B$6)*(約款料金!$B$14+$J$4)+約款料金!$B$13,0)))</f>
        <v>36805</v>
      </c>
      <c r="C97" s="360">
        <f>IF(($A97+C$6)&gt;約款料金!$C$9,ROUNDDOWN(($A97+C$6)*(約款料金!$D$14+$J$4)+約款料金!$D$13,0),IF(($A97+C$6)&gt;約款料金!$B$9,ROUNDDOWN(($A97+C$6)*(約款料金!$C$14+$J$4)+約款料金!$C$13,0),ROUNDDOWN(($A97+C$6)*(約款料金!$B$14+$J$4)+約款料金!$B$13,0)))</f>
        <v>36845</v>
      </c>
      <c r="D97" s="360">
        <f>IF(($A97+D$6)&gt;約款料金!$C$9,ROUNDDOWN(($A97+D$6)*(約款料金!$D$14+$J$4)+約款料金!$D$13,0),IF(($A97+D$6)&gt;約款料金!$B$9,ROUNDDOWN(($A97+D$6)*(約款料金!$C$14+$J$4)+約款料金!$C$13,0),ROUNDDOWN(($A97+D$6)*(約款料金!$B$14+$J$4)+約款料金!$B$13,0)))</f>
        <v>36886</v>
      </c>
      <c r="E97" s="360">
        <f>IF(($A97+E$6)&gt;約款料金!$C$9,ROUNDDOWN(($A97+E$6)*(約款料金!$D$14+$J$4)+約款料金!$D$13,0),IF(($A97+E$6)&gt;約款料金!$B$9,ROUNDDOWN(($A97+E$6)*(約款料金!$C$14+$J$4)+約款料金!$C$13,0),ROUNDDOWN(($A97+E$6)*(約款料金!$B$14+$J$4)+約款料金!$B$13,0)))</f>
        <v>36927</v>
      </c>
      <c r="F97" s="360">
        <f>IF(($A97+F$6)&gt;約款料金!$C$9,ROUNDDOWN(($A97+F$6)*(約款料金!$D$14+$J$4)+約款料金!$D$13,0),IF(($A97+F$6)&gt;約款料金!$B$9,ROUNDDOWN(($A97+F$6)*(約款料金!$C$14+$J$4)+約款料金!$C$13,0),ROUNDDOWN(($A97+F$6)*(約款料金!$B$14+$J$4)+約款料金!$B$13,0)))</f>
        <v>36968</v>
      </c>
      <c r="G97" s="360">
        <f>IF(($A97+G$6)&gt;約款料金!$C$9,ROUNDDOWN(($A97+G$6)*(約款料金!$D$14+$J$4)+約款料金!$D$13,0),IF(($A97+G$6)&gt;約款料金!$B$9,ROUNDDOWN(($A97+G$6)*(約款料金!$C$14+$J$4)+約款料金!$C$13,0),ROUNDDOWN(($A97+G$6)*(約款料金!$B$14+$J$4)+約款料金!$B$13,0)))</f>
        <v>37009</v>
      </c>
      <c r="H97" s="360">
        <f>IF(($A97+H$6)&gt;約款料金!$C$9,ROUNDDOWN(($A97+H$6)*(約款料金!$D$14+$J$4)+約款料金!$D$13,0),IF(($A97+H$6)&gt;約款料金!$B$9,ROUNDDOWN(($A97+H$6)*(約款料金!$C$14+$J$4)+約款料金!$C$13,0),ROUNDDOWN(($A97+H$6)*(約款料金!$B$14+$J$4)+約款料金!$B$13,0)))</f>
        <v>37049</v>
      </c>
      <c r="I97" s="360">
        <f>IF(($A97+I$6)&gt;約款料金!$C$9,ROUNDDOWN(($A97+I$6)*(約款料金!$D$14+$J$4)+約款料金!$D$13,0),IF(($A97+I$6)&gt;約款料金!$B$9,ROUNDDOWN(($A97+I$6)*(約款料金!$C$14+$J$4)+約款料金!$C$13,0),ROUNDDOWN(($A97+I$6)*(約款料金!$B$14+$J$4)+約款料金!$B$13,0)))</f>
        <v>37090</v>
      </c>
      <c r="J97" s="360">
        <f>IF(($A97+J$6)&gt;約款料金!$C$9,ROUNDDOWN(($A97+J$6)*(約款料金!$D$14+$J$4)+約款料金!$D$13,0),IF(($A97+J$6)&gt;約款料金!$B$9,ROUNDDOWN(($A97+J$6)*(約款料金!$C$14+$J$4)+約款料金!$C$13,0),ROUNDDOWN(($A97+J$6)*(約款料金!$B$14+$J$4)+約款料金!$B$13,0)))</f>
        <v>37131</v>
      </c>
      <c r="K97" s="366">
        <f>IF(($A97+K$6)&gt;約款料金!$C$9,ROUNDDOWN(($A97+K$6)*(約款料金!$D$14+$J$4)+約款料金!$D$13,0),IF(($A97+K$6)&gt;約款料金!$B$9,ROUNDDOWN(($A97+K$6)*(約款料金!$C$14+$J$4)+約款料金!$C$13,0),ROUNDDOWN(($A97+K$6)*(約款料金!$B$14+$J$4)+約款料金!$B$13,0)))</f>
        <v>37172</v>
      </c>
    </row>
    <row r="98" spans="1:11">
      <c r="A98" s="382">
        <v>85</v>
      </c>
      <c r="B98" s="371">
        <f>IF(($A98+B$6)&gt;約款料金!$C$9,ROUNDDOWN(($A98+B$6)*(約款料金!$D$14+$J$4)+約款料金!$D$13,0),IF(($A98+B$6)&gt;約款料金!$B$9,ROUNDDOWN(($A98+B$6)*(約款料金!$C$14+$J$4)+約款料金!$C$13,0),ROUNDDOWN(($A98+B$6)*(約款料金!$B$14+$J$4)+約款料金!$B$13,0)))</f>
        <v>37213</v>
      </c>
      <c r="C98" s="372">
        <f>IF(($A98+C$6)&gt;約款料金!$C$9,ROUNDDOWN(($A98+C$6)*(約款料金!$D$14+$J$4)+約款料金!$D$13,0),IF(($A98+C$6)&gt;約款料金!$B$9,ROUNDDOWN(($A98+C$6)*(約款料金!$C$14+$J$4)+約款料金!$C$13,0),ROUNDDOWN(($A98+C$6)*(約款料金!$B$14+$J$4)+約款料金!$B$13,0)))</f>
        <v>37254</v>
      </c>
      <c r="D98" s="372">
        <f>IF(($A98+D$6)&gt;約款料金!$C$9,ROUNDDOWN(($A98+D$6)*(約款料金!$D$14+$J$4)+約款料金!$D$13,0),IF(($A98+D$6)&gt;約款料金!$B$9,ROUNDDOWN(($A98+D$6)*(約款料金!$C$14+$J$4)+約款料金!$C$13,0),ROUNDDOWN(($A98+D$6)*(約款料金!$B$14+$J$4)+約款料金!$B$13,0)))</f>
        <v>37294</v>
      </c>
      <c r="E98" s="372">
        <f>IF(($A98+E$6)&gt;約款料金!$C$9,ROUNDDOWN(($A98+E$6)*(約款料金!$D$14+$J$4)+約款料金!$D$13,0),IF(($A98+E$6)&gt;約款料金!$B$9,ROUNDDOWN(($A98+E$6)*(約款料金!$C$14+$J$4)+約款料金!$C$13,0),ROUNDDOWN(($A98+E$6)*(約款料金!$B$14+$J$4)+約款料金!$B$13,0)))</f>
        <v>37335</v>
      </c>
      <c r="F98" s="372">
        <f>IF(($A98+F$6)&gt;約款料金!$C$9,ROUNDDOWN(($A98+F$6)*(約款料金!$D$14+$J$4)+約款料金!$D$13,0),IF(($A98+F$6)&gt;約款料金!$B$9,ROUNDDOWN(($A98+F$6)*(約款料金!$C$14+$J$4)+約款料金!$C$13,0),ROUNDDOWN(($A98+F$6)*(約款料金!$B$14+$J$4)+約款料金!$B$13,0)))</f>
        <v>37376</v>
      </c>
      <c r="G98" s="372">
        <f>IF(($A98+G$6)&gt;約款料金!$C$9,ROUNDDOWN(($A98+G$6)*(約款料金!$D$14+$J$4)+約款料金!$D$13,0),IF(($A98+G$6)&gt;約款料金!$B$9,ROUNDDOWN(($A98+G$6)*(約款料金!$C$14+$J$4)+約款料金!$C$13,0),ROUNDDOWN(($A98+G$6)*(約款料金!$B$14+$J$4)+約款料金!$B$13,0)))</f>
        <v>37417</v>
      </c>
      <c r="H98" s="372">
        <f>IF(($A98+H$6)&gt;約款料金!$C$9,ROUNDDOWN(($A98+H$6)*(約款料金!$D$14+$J$4)+約款料金!$D$13,0),IF(($A98+H$6)&gt;約款料金!$B$9,ROUNDDOWN(($A98+H$6)*(約款料金!$C$14+$J$4)+約款料金!$C$13,0),ROUNDDOWN(($A98+H$6)*(約款料金!$B$14+$J$4)+約款料金!$B$13,0)))</f>
        <v>37458</v>
      </c>
      <c r="I98" s="372">
        <f>IF(($A98+I$6)&gt;約款料金!$C$9,ROUNDDOWN(($A98+I$6)*(約款料金!$D$14+$J$4)+約款料金!$D$13,0),IF(($A98+I$6)&gt;約款料金!$B$9,ROUNDDOWN(($A98+I$6)*(約款料金!$C$14+$J$4)+約款料金!$C$13,0),ROUNDDOWN(($A98+I$6)*(約款料金!$B$14+$J$4)+約款料金!$B$13,0)))</f>
        <v>37498</v>
      </c>
      <c r="J98" s="372">
        <f>IF(($A98+J$6)&gt;約款料金!$C$9,ROUNDDOWN(($A98+J$6)*(約款料金!$D$14+$J$4)+約款料金!$D$13,0),IF(($A98+J$6)&gt;約款料金!$B$9,ROUNDDOWN(($A98+J$6)*(約款料金!$C$14+$J$4)+約款料金!$C$13,0),ROUNDDOWN(($A98+J$6)*(約款料金!$B$14+$J$4)+約款料金!$B$13,0)))</f>
        <v>37539</v>
      </c>
      <c r="K98" s="373">
        <f>IF(($A98+K$6)&gt;約款料金!$C$9,ROUNDDOWN(($A98+K$6)*(約款料金!$D$14+$J$4)+約款料金!$D$13,0),IF(($A98+K$6)&gt;約款料金!$B$9,ROUNDDOWN(($A98+K$6)*(約款料金!$C$14+$J$4)+約款料金!$C$13,0),ROUNDDOWN(($A98+K$6)*(約款料金!$B$14+$J$4)+約款料金!$B$13,0)))</f>
        <v>37580</v>
      </c>
    </row>
    <row r="99" spans="1:11">
      <c r="A99" s="379">
        <v>86</v>
      </c>
      <c r="B99" s="365">
        <f>IF(($A99+B$6)&gt;約款料金!$C$9,ROUNDDOWN(($A99+B$6)*(約款料金!$D$14+$J$4)+約款料金!$D$13,0),IF(($A99+B$6)&gt;約款料金!$B$9,ROUNDDOWN(($A99+B$6)*(約款料金!$C$14+$J$4)+約款料金!$C$13,0),ROUNDDOWN(($A99+B$6)*(約款料金!$B$14+$J$4)+約款料金!$B$13,0)))</f>
        <v>37621</v>
      </c>
      <c r="C99" s="360">
        <f>IF(($A99+C$6)&gt;約款料金!$C$9,ROUNDDOWN(($A99+C$6)*(約款料金!$D$14+$J$4)+約款料金!$D$13,0),IF(($A99+C$6)&gt;約款料金!$B$9,ROUNDDOWN(($A99+C$6)*(約款料金!$C$14+$J$4)+約款料金!$C$13,0),ROUNDDOWN(($A99+C$6)*(約款料金!$B$14+$J$4)+約款料金!$B$13,0)))</f>
        <v>37662</v>
      </c>
      <c r="D99" s="360">
        <f>IF(($A99+D$6)&gt;約款料金!$C$9,ROUNDDOWN(($A99+D$6)*(約款料金!$D$14+$J$4)+約款料金!$D$13,0),IF(($A99+D$6)&gt;約款料金!$B$9,ROUNDDOWN(($A99+D$6)*(約款料金!$C$14+$J$4)+約款料金!$C$13,0),ROUNDDOWN(($A99+D$6)*(約款料金!$B$14+$J$4)+約款料金!$B$13,0)))</f>
        <v>37703</v>
      </c>
      <c r="E99" s="360">
        <f>IF(($A99+E$6)&gt;約款料金!$C$9,ROUNDDOWN(($A99+E$6)*(約款料金!$D$14+$J$4)+約款料金!$D$13,0),IF(($A99+E$6)&gt;約款料金!$B$9,ROUNDDOWN(($A99+E$6)*(約款料金!$C$14+$J$4)+約款料金!$C$13,0),ROUNDDOWN(($A99+E$6)*(約款料金!$B$14+$J$4)+約款料金!$B$13,0)))</f>
        <v>37743</v>
      </c>
      <c r="F99" s="360">
        <f>IF(($A99+F$6)&gt;約款料金!$C$9,ROUNDDOWN(($A99+F$6)*(約款料金!$D$14+$J$4)+約款料金!$D$13,0),IF(($A99+F$6)&gt;約款料金!$B$9,ROUNDDOWN(($A99+F$6)*(約款料金!$C$14+$J$4)+約款料金!$C$13,0),ROUNDDOWN(($A99+F$6)*(約款料金!$B$14+$J$4)+約款料金!$B$13,0)))</f>
        <v>37784</v>
      </c>
      <c r="G99" s="360">
        <f>IF(($A99+G$6)&gt;約款料金!$C$9,ROUNDDOWN(($A99+G$6)*(約款料金!$D$14+$J$4)+約款料金!$D$13,0),IF(($A99+G$6)&gt;約款料金!$B$9,ROUNDDOWN(($A99+G$6)*(約款料金!$C$14+$J$4)+約款料金!$C$13,0),ROUNDDOWN(($A99+G$6)*(約款料金!$B$14+$J$4)+約款料金!$B$13,0)))</f>
        <v>37825</v>
      </c>
      <c r="H99" s="360">
        <f>IF(($A99+H$6)&gt;約款料金!$C$9,ROUNDDOWN(($A99+H$6)*(約款料金!$D$14+$J$4)+約款料金!$D$13,0),IF(($A99+H$6)&gt;約款料金!$B$9,ROUNDDOWN(($A99+H$6)*(約款料金!$C$14+$J$4)+約款料金!$C$13,0),ROUNDDOWN(($A99+H$6)*(約款料金!$B$14+$J$4)+約款料金!$B$13,0)))</f>
        <v>37866</v>
      </c>
      <c r="I99" s="360">
        <f>IF(($A99+I$6)&gt;約款料金!$C$9,ROUNDDOWN(($A99+I$6)*(約款料金!$D$14+$J$4)+約款料金!$D$13,0),IF(($A99+I$6)&gt;約款料金!$B$9,ROUNDDOWN(($A99+I$6)*(約款料金!$C$14+$J$4)+約款料金!$C$13,0),ROUNDDOWN(($A99+I$6)*(約款料金!$B$14+$J$4)+約款料金!$B$13,0)))</f>
        <v>37907</v>
      </c>
      <c r="J99" s="360">
        <f>IF(($A99+J$6)&gt;約款料金!$C$9,ROUNDDOWN(($A99+J$6)*(約款料金!$D$14+$J$4)+約款料金!$D$13,0),IF(($A99+J$6)&gt;約款料金!$B$9,ROUNDDOWN(($A99+J$6)*(約款料金!$C$14+$J$4)+約款料金!$C$13,0),ROUNDDOWN(($A99+J$6)*(約款料金!$B$14+$J$4)+約款料金!$B$13,0)))</f>
        <v>37947</v>
      </c>
      <c r="K99" s="366">
        <f>IF(($A99+K$6)&gt;約款料金!$C$9,ROUNDDOWN(($A99+K$6)*(約款料金!$D$14+$J$4)+約款料金!$D$13,0),IF(($A99+K$6)&gt;約款料金!$B$9,ROUNDDOWN(($A99+K$6)*(約款料金!$C$14+$J$4)+約款料金!$C$13,0),ROUNDDOWN(($A99+K$6)*(約款料金!$B$14+$J$4)+約款料金!$B$13,0)))</f>
        <v>37988</v>
      </c>
    </row>
    <row r="100" spans="1:11">
      <c r="A100" s="380">
        <v>87</v>
      </c>
      <c r="B100" s="365">
        <f>IF(($A100+B$6)&gt;約款料金!$C$9,ROUNDDOWN(($A100+B$6)*(約款料金!$D$14+$J$4)+約款料金!$D$13,0),IF(($A100+B$6)&gt;約款料金!$B$9,ROUNDDOWN(($A100+B$6)*(約款料金!$C$14+$J$4)+約款料金!$C$13,0),ROUNDDOWN(($A100+B$6)*(約款料金!$B$14+$J$4)+約款料金!$B$13,0)))</f>
        <v>38029</v>
      </c>
      <c r="C100" s="360">
        <f>IF(($A100+C$6)&gt;約款料金!$C$9,ROUNDDOWN(($A100+C$6)*(約款料金!$D$14+$J$4)+約款料金!$D$13,0),IF(($A100+C$6)&gt;約款料金!$B$9,ROUNDDOWN(($A100+C$6)*(約款料金!$C$14+$J$4)+約款料金!$C$13,0),ROUNDDOWN(($A100+C$6)*(約款料金!$B$14+$J$4)+約款料金!$B$13,0)))</f>
        <v>38070</v>
      </c>
      <c r="D100" s="360">
        <f>IF(($A100+D$6)&gt;約款料金!$C$9,ROUNDDOWN(($A100+D$6)*(約款料金!$D$14+$J$4)+約款料金!$D$13,0),IF(($A100+D$6)&gt;約款料金!$B$9,ROUNDDOWN(($A100+D$6)*(約款料金!$C$14+$J$4)+約款料金!$C$13,0),ROUNDDOWN(($A100+D$6)*(約款料金!$B$14+$J$4)+約款料金!$B$13,0)))</f>
        <v>38111</v>
      </c>
      <c r="E100" s="360">
        <f>IF(($A100+E$6)&gt;約款料金!$C$9,ROUNDDOWN(($A100+E$6)*(約款料金!$D$14+$J$4)+約款料金!$D$13,0),IF(($A100+E$6)&gt;約款料金!$B$9,ROUNDDOWN(($A100+E$6)*(約款料金!$C$14+$J$4)+約款料金!$C$13,0),ROUNDDOWN(($A100+E$6)*(約款料金!$B$14+$J$4)+約款料金!$B$13,0)))</f>
        <v>38152</v>
      </c>
      <c r="F100" s="360">
        <f>IF(($A100+F$6)&gt;約款料金!$C$9,ROUNDDOWN(($A100+F$6)*(約款料金!$D$14+$J$4)+約款料金!$D$13,0),IF(($A100+F$6)&gt;約款料金!$B$9,ROUNDDOWN(($A100+F$6)*(約款料金!$C$14+$J$4)+約款料金!$C$13,0),ROUNDDOWN(($A100+F$6)*(約款料金!$B$14+$J$4)+約款料金!$B$13,0)))</f>
        <v>38192</v>
      </c>
      <c r="G100" s="360">
        <f>IF(($A100+G$6)&gt;約款料金!$C$9,ROUNDDOWN(($A100+G$6)*(約款料金!$D$14+$J$4)+約款料金!$D$13,0),IF(($A100+G$6)&gt;約款料金!$B$9,ROUNDDOWN(($A100+G$6)*(約款料金!$C$14+$J$4)+約款料金!$C$13,0),ROUNDDOWN(($A100+G$6)*(約款料金!$B$14+$J$4)+約款料金!$B$13,0)))</f>
        <v>38233</v>
      </c>
      <c r="H100" s="360">
        <f>IF(($A100+H$6)&gt;約款料金!$C$9,ROUNDDOWN(($A100+H$6)*(約款料金!$D$14+$J$4)+約款料金!$D$13,0),IF(($A100+H$6)&gt;約款料金!$B$9,ROUNDDOWN(($A100+H$6)*(約款料金!$C$14+$J$4)+約款料金!$C$13,0),ROUNDDOWN(($A100+H$6)*(約款料金!$B$14+$J$4)+約款料金!$B$13,0)))</f>
        <v>38274</v>
      </c>
      <c r="I100" s="360">
        <f>IF(($A100+I$6)&gt;約款料金!$C$9,ROUNDDOWN(($A100+I$6)*(約款料金!$D$14+$J$4)+約款料金!$D$13,0),IF(($A100+I$6)&gt;約款料金!$B$9,ROUNDDOWN(($A100+I$6)*(約款料金!$C$14+$J$4)+約款料金!$C$13,0),ROUNDDOWN(($A100+I$6)*(約款料金!$B$14+$J$4)+約款料金!$B$13,0)))</f>
        <v>38315</v>
      </c>
      <c r="J100" s="360">
        <f>IF(($A100+J$6)&gt;約款料金!$C$9,ROUNDDOWN(($A100+J$6)*(約款料金!$D$14+$J$4)+約款料金!$D$13,0),IF(($A100+J$6)&gt;約款料金!$B$9,ROUNDDOWN(($A100+J$6)*(約款料金!$C$14+$J$4)+約款料金!$C$13,0),ROUNDDOWN(($A100+J$6)*(約款料金!$B$14+$J$4)+約款料金!$B$13,0)))</f>
        <v>38356</v>
      </c>
      <c r="K100" s="366">
        <f>IF(($A100+K$6)&gt;約款料金!$C$9,ROUNDDOWN(($A100+K$6)*(約款料金!$D$14+$J$4)+約款料金!$D$13,0),IF(($A100+K$6)&gt;約款料金!$B$9,ROUNDDOWN(($A100+K$6)*(約款料金!$C$14+$J$4)+約款料金!$C$13,0),ROUNDDOWN(($A100+K$6)*(約款料金!$B$14+$J$4)+約款料金!$B$13,0)))</f>
        <v>38396</v>
      </c>
    </row>
    <row r="101" spans="1:11">
      <c r="A101" s="380">
        <v>88</v>
      </c>
      <c r="B101" s="365">
        <f>IF(($A101+B$6)&gt;約款料金!$C$9,ROUNDDOWN(($A101+B$6)*(約款料金!$D$14+$J$4)+約款料金!$D$13,0),IF(($A101+B$6)&gt;約款料金!$B$9,ROUNDDOWN(($A101+B$6)*(約款料金!$C$14+$J$4)+約款料金!$C$13,0),ROUNDDOWN(($A101+B$6)*(約款料金!$B$14+$J$4)+約款料金!$B$13,0)))</f>
        <v>38437</v>
      </c>
      <c r="C101" s="360">
        <f>IF(($A101+C$6)&gt;約款料金!$C$9,ROUNDDOWN(($A101+C$6)*(約款料金!$D$14+$J$4)+約款料金!$D$13,0),IF(($A101+C$6)&gt;約款料金!$B$9,ROUNDDOWN(($A101+C$6)*(約款料金!$C$14+$J$4)+約款料金!$C$13,0),ROUNDDOWN(($A101+C$6)*(約款料金!$B$14+$J$4)+約款料金!$B$13,0)))</f>
        <v>38478</v>
      </c>
      <c r="D101" s="360">
        <f>IF(($A101+D$6)&gt;約款料金!$C$9,ROUNDDOWN(($A101+D$6)*(約款料金!$D$14+$J$4)+約款料金!$D$13,0),IF(($A101+D$6)&gt;約款料金!$B$9,ROUNDDOWN(($A101+D$6)*(約款料金!$C$14+$J$4)+約款料金!$C$13,0),ROUNDDOWN(($A101+D$6)*(約款料金!$B$14+$J$4)+約款料金!$B$13,0)))</f>
        <v>38519</v>
      </c>
      <c r="E101" s="360">
        <f>IF(($A101+E$6)&gt;約款料金!$C$9,ROUNDDOWN(($A101+E$6)*(約款料金!$D$14+$J$4)+約款料金!$D$13,0),IF(($A101+E$6)&gt;約款料金!$B$9,ROUNDDOWN(($A101+E$6)*(約款料金!$C$14+$J$4)+約款料金!$C$13,0),ROUNDDOWN(($A101+E$6)*(約款料金!$B$14+$J$4)+約款料金!$B$13,0)))</f>
        <v>38560</v>
      </c>
      <c r="F101" s="360">
        <f>IF(($A101+F$6)&gt;約款料金!$C$9,ROUNDDOWN(($A101+F$6)*(約款料金!$D$14+$J$4)+約款料金!$D$13,0),IF(($A101+F$6)&gt;約款料金!$B$9,ROUNDDOWN(($A101+F$6)*(約款料金!$C$14+$J$4)+約款料金!$C$13,0),ROUNDDOWN(($A101+F$6)*(約款料金!$B$14+$J$4)+約款料金!$B$13,0)))</f>
        <v>38601</v>
      </c>
      <c r="G101" s="360">
        <f>IF(($A101+G$6)&gt;約款料金!$C$9,ROUNDDOWN(($A101+G$6)*(約款料金!$D$14+$J$4)+約款料金!$D$13,0),IF(($A101+G$6)&gt;約款料金!$B$9,ROUNDDOWN(($A101+G$6)*(約款料金!$C$14+$J$4)+約款料金!$C$13,0),ROUNDDOWN(($A101+G$6)*(約款料金!$B$14+$J$4)+約款料金!$B$13,0)))</f>
        <v>38641</v>
      </c>
      <c r="H101" s="360">
        <f>IF(($A101+H$6)&gt;約款料金!$C$9,ROUNDDOWN(($A101+H$6)*(約款料金!$D$14+$J$4)+約款料金!$D$13,0),IF(($A101+H$6)&gt;約款料金!$B$9,ROUNDDOWN(($A101+H$6)*(約款料金!$C$14+$J$4)+約款料金!$C$13,0),ROUNDDOWN(($A101+H$6)*(約款料金!$B$14+$J$4)+約款料金!$B$13,0)))</f>
        <v>38682</v>
      </c>
      <c r="I101" s="360">
        <f>IF(($A101+I$6)&gt;約款料金!$C$9,ROUNDDOWN(($A101+I$6)*(約款料金!$D$14+$J$4)+約款料金!$D$13,0),IF(($A101+I$6)&gt;約款料金!$B$9,ROUNDDOWN(($A101+I$6)*(約款料金!$C$14+$J$4)+約款料金!$C$13,0),ROUNDDOWN(($A101+I$6)*(約款料金!$B$14+$J$4)+約款料金!$B$13,0)))</f>
        <v>38723</v>
      </c>
      <c r="J101" s="360">
        <f>IF(($A101+J$6)&gt;約款料金!$C$9,ROUNDDOWN(($A101+J$6)*(約款料金!$D$14+$J$4)+約款料金!$D$13,0),IF(($A101+J$6)&gt;約款料金!$B$9,ROUNDDOWN(($A101+J$6)*(約款料金!$C$14+$J$4)+約款料金!$C$13,0),ROUNDDOWN(($A101+J$6)*(約款料金!$B$14+$J$4)+約款料金!$B$13,0)))</f>
        <v>38764</v>
      </c>
      <c r="K101" s="366">
        <f>IF(($A101+K$6)&gt;約款料金!$C$9,ROUNDDOWN(($A101+K$6)*(約款料金!$D$14+$J$4)+約款料金!$D$13,0),IF(($A101+K$6)&gt;約款料金!$B$9,ROUNDDOWN(($A101+K$6)*(約款料金!$C$14+$J$4)+約款料金!$C$13,0),ROUNDDOWN(($A101+K$6)*(約款料金!$B$14+$J$4)+約款料金!$B$13,0)))</f>
        <v>38805</v>
      </c>
    </row>
    <row r="102" spans="1:11">
      <c r="A102" s="380">
        <v>89</v>
      </c>
      <c r="B102" s="365">
        <f>IF(($A102+B$6)&gt;約款料金!$C$9,ROUNDDOWN(($A102+B$6)*(約款料金!$D$14+$J$4)+約款料金!$D$13,0),IF(($A102+B$6)&gt;約款料金!$B$9,ROUNDDOWN(($A102+B$6)*(約款料金!$C$14+$J$4)+約款料金!$C$13,0),ROUNDDOWN(($A102+B$6)*(約款料金!$B$14+$J$4)+約款料金!$B$13,0)))</f>
        <v>38846</v>
      </c>
      <c r="C102" s="360">
        <f>IF(($A102+C$6)&gt;約款料金!$C$9,ROUNDDOWN(($A102+C$6)*(約款料金!$D$14+$J$4)+約款料金!$D$13,0),IF(($A102+C$6)&gt;約款料金!$B$9,ROUNDDOWN(($A102+C$6)*(約款料金!$C$14+$J$4)+約款料金!$C$13,0),ROUNDDOWN(($A102+C$6)*(約款料金!$B$14+$J$4)+約款料金!$B$13,0)))</f>
        <v>38886</v>
      </c>
      <c r="D102" s="360">
        <f>IF(($A102+D$6)&gt;約款料金!$C$9,ROUNDDOWN(($A102+D$6)*(約款料金!$D$14+$J$4)+約款料金!$D$13,0),IF(($A102+D$6)&gt;約款料金!$B$9,ROUNDDOWN(($A102+D$6)*(約款料金!$C$14+$J$4)+約款料金!$C$13,0),ROUNDDOWN(($A102+D$6)*(約款料金!$B$14+$J$4)+約款料金!$B$13,0)))</f>
        <v>38927</v>
      </c>
      <c r="E102" s="360">
        <f>IF(($A102+E$6)&gt;約款料金!$C$9,ROUNDDOWN(($A102+E$6)*(約款料金!$D$14+$J$4)+約款料金!$D$13,0),IF(($A102+E$6)&gt;約款料金!$B$9,ROUNDDOWN(($A102+E$6)*(約款料金!$C$14+$J$4)+約款料金!$C$13,0),ROUNDDOWN(($A102+E$6)*(約款料金!$B$14+$J$4)+約款料金!$B$13,0)))</f>
        <v>38968</v>
      </c>
      <c r="F102" s="360">
        <f>IF(($A102+F$6)&gt;約款料金!$C$9,ROUNDDOWN(($A102+F$6)*(約款料金!$D$14+$J$4)+約款料金!$D$13,0),IF(($A102+F$6)&gt;約款料金!$B$9,ROUNDDOWN(($A102+F$6)*(約款料金!$C$14+$J$4)+約款料金!$C$13,0),ROUNDDOWN(($A102+F$6)*(約款料金!$B$14+$J$4)+約款料金!$B$13,0)))</f>
        <v>39009</v>
      </c>
      <c r="G102" s="360">
        <f>IF(($A102+G$6)&gt;約款料金!$C$9,ROUNDDOWN(($A102+G$6)*(約款料金!$D$14+$J$4)+約款料金!$D$13,0),IF(($A102+G$6)&gt;約款料金!$B$9,ROUNDDOWN(($A102+G$6)*(約款料金!$C$14+$J$4)+約款料金!$C$13,0),ROUNDDOWN(($A102+G$6)*(約款料金!$B$14+$J$4)+約款料金!$B$13,0)))</f>
        <v>39050</v>
      </c>
      <c r="H102" s="360">
        <f>IF(($A102+H$6)&gt;約款料金!$C$9,ROUNDDOWN(($A102+H$6)*(約款料金!$D$14+$J$4)+約款料金!$D$13,0),IF(($A102+H$6)&gt;約款料金!$B$9,ROUNDDOWN(($A102+H$6)*(約款料金!$C$14+$J$4)+約款料金!$C$13,0),ROUNDDOWN(($A102+H$6)*(約款料金!$B$14+$J$4)+約款料金!$B$13,0)))</f>
        <v>39090</v>
      </c>
      <c r="I102" s="360">
        <f>IF(($A102+I$6)&gt;約款料金!$C$9,ROUNDDOWN(($A102+I$6)*(約款料金!$D$14+$J$4)+約款料金!$D$13,0),IF(($A102+I$6)&gt;約款料金!$B$9,ROUNDDOWN(($A102+I$6)*(約款料金!$C$14+$J$4)+約款料金!$C$13,0),ROUNDDOWN(($A102+I$6)*(約款料金!$B$14+$J$4)+約款料金!$B$13,0)))</f>
        <v>39131</v>
      </c>
      <c r="J102" s="360">
        <f>IF(($A102+J$6)&gt;約款料金!$C$9,ROUNDDOWN(($A102+J$6)*(約款料金!$D$14+$J$4)+約款料金!$D$13,0),IF(($A102+J$6)&gt;約款料金!$B$9,ROUNDDOWN(($A102+J$6)*(約款料金!$C$14+$J$4)+約款料金!$C$13,0),ROUNDDOWN(($A102+J$6)*(約款料金!$B$14+$J$4)+約款料金!$B$13,0)))</f>
        <v>39172</v>
      </c>
      <c r="K102" s="366">
        <f>IF(($A102+K$6)&gt;約款料金!$C$9,ROUNDDOWN(($A102+K$6)*(約款料金!$D$14+$J$4)+約款料金!$D$13,0),IF(($A102+K$6)&gt;約款料金!$B$9,ROUNDDOWN(($A102+K$6)*(約款料金!$C$14+$J$4)+約款料金!$C$13,0),ROUNDDOWN(($A102+K$6)*(約款料金!$B$14+$J$4)+約款料金!$B$13,0)))</f>
        <v>39213</v>
      </c>
    </row>
    <row r="103" spans="1:11">
      <c r="A103" s="382">
        <v>90</v>
      </c>
      <c r="B103" s="371">
        <f>IF(($A103+B$6)&gt;約款料金!$C$9,ROUNDDOWN(($A103+B$6)*(約款料金!$D$14+$J$4)+約款料金!$D$13,0),IF(($A103+B$6)&gt;約款料金!$B$9,ROUNDDOWN(($A103+B$6)*(約款料金!$C$14+$J$4)+約款料金!$C$13,0),ROUNDDOWN(($A103+B$6)*(約款料金!$B$14+$J$4)+約款料金!$B$13,0)))</f>
        <v>39254</v>
      </c>
      <c r="C103" s="372">
        <f>IF(($A103+C$6)&gt;約款料金!$C$9,ROUNDDOWN(($A103+C$6)*(約款料金!$D$14+$J$4)+約款料金!$D$13,0),IF(($A103+C$6)&gt;約款料金!$B$9,ROUNDDOWN(($A103+C$6)*(約款料金!$C$14+$J$4)+約款料金!$C$13,0),ROUNDDOWN(($A103+C$6)*(約款料金!$B$14+$J$4)+約款料金!$B$13,0)))</f>
        <v>39295</v>
      </c>
      <c r="D103" s="372">
        <f>IF(($A103+D$6)&gt;約款料金!$C$9,ROUNDDOWN(($A103+D$6)*(約款料金!$D$14+$J$4)+約款料金!$D$13,0),IF(($A103+D$6)&gt;約款料金!$B$9,ROUNDDOWN(($A103+D$6)*(約款料金!$C$14+$J$4)+約款料金!$C$13,0),ROUNDDOWN(($A103+D$6)*(約款料金!$B$14+$J$4)+約款料金!$B$13,0)))</f>
        <v>39335</v>
      </c>
      <c r="E103" s="372">
        <f>IF(($A103+E$6)&gt;約款料金!$C$9,ROUNDDOWN(($A103+E$6)*(約款料金!$D$14+$J$4)+約款料金!$D$13,0),IF(($A103+E$6)&gt;約款料金!$B$9,ROUNDDOWN(($A103+E$6)*(約款料金!$C$14+$J$4)+約款料金!$C$13,0),ROUNDDOWN(($A103+E$6)*(約款料金!$B$14+$J$4)+約款料金!$B$13,0)))</f>
        <v>39376</v>
      </c>
      <c r="F103" s="372">
        <f>IF(($A103+F$6)&gt;約款料金!$C$9,ROUNDDOWN(($A103+F$6)*(約款料金!$D$14+$J$4)+約款料金!$D$13,0),IF(($A103+F$6)&gt;約款料金!$B$9,ROUNDDOWN(($A103+F$6)*(約款料金!$C$14+$J$4)+約款料金!$C$13,0),ROUNDDOWN(($A103+F$6)*(約款料金!$B$14+$J$4)+約款料金!$B$13,0)))</f>
        <v>39417</v>
      </c>
      <c r="G103" s="372">
        <f>IF(($A103+G$6)&gt;約款料金!$C$9,ROUNDDOWN(($A103+G$6)*(約款料金!$D$14+$J$4)+約款料金!$D$13,0),IF(($A103+G$6)&gt;約款料金!$B$9,ROUNDDOWN(($A103+G$6)*(約款料金!$C$14+$J$4)+約款料金!$C$13,0),ROUNDDOWN(($A103+G$6)*(約款料金!$B$14+$J$4)+約款料金!$B$13,0)))</f>
        <v>39458</v>
      </c>
      <c r="H103" s="372">
        <f>IF(($A103+H$6)&gt;約款料金!$C$9,ROUNDDOWN(($A103+H$6)*(約款料金!$D$14+$J$4)+約款料金!$D$13,0),IF(($A103+H$6)&gt;約款料金!$B$9,ROUNDDOWN(($A103+H$6)*(約款料金!$C$14+$J$4)+約款料金!$C$13,0),ROUNDDOWN(($A103+H$6)*(約款料金!$B$14+$J$4)+約款料金!$B$13,0)))</f>
        <v>39499</v>
      </c>
      <c r="I103" s="372">
        <f>IF(($A103+I$6)&gt;約款料金!$C$9,ROUNDDOWN(($A103+I$6)*(約款料金!$D$14+$J$4)+約款料金!$D$13,0),IF(($A103+I$6)&gt;約款料金!$B$9,ROUNDDOWN(($A103+I$6)*(約款料金!$C$14+$J$4)+約款料金!$C$13,0),ROUNDDOWN(($A103+I$6)*(約款料金!$B$14+$J$4)+約款料金!$B$13,0)))</f>
        <v>39539</v>
      </c>
      <c r="J103" s="372">
        <f>IF(($A103+J$6)&gt;約款料金!$C$9,ROUNDDOWN(($A103+J$6)*(約款料金!$D$14+$J$4)+約款料金!$D$13,0),IF(($A103+J$6)&gt;約款料金!$B$9,ROUNDDOWN(($A103+J$6)*(約款料金!$C$14+$J$4)+約款料金!$C$13,0),ROUNDDOWN(($A103+J$6)*(約款料金!$B$14+$J$4)+約款料金!$B$13,0)))</f>
        <v>39580</v>
      </c>
      <c r="K103" s="373">
        <f>IF(($A103+K$6)&gt;約款料金!$C$9,ROUNDDOWN(($A103+K$6)*(約款料金!$D$14+$J$4)+約款料金!$D$13,0),IF(($A103+K$6)&gt;約款料金!$B$9,ROUNDDOWN(($A103+K$6)*(約款料金!$C$14+$J$4)+約款料金!$C$13,0),ROUNDDOWN(($A103+K$6)*(約款料金!$B$14+$J$4)+約款料金!$B$13,0)))</f>
        <v>39621</v>
      </c>
    </row>
    <row r="104" spans="1:11">
      <c r="A104" s="379">
        <v>91</v>
      </c>
      <c r="B104" s="365">
        <f>IF(($A104+B$6)&gt;約款料金!$C$9,ROUNDDOWN(($A104+B$6)*(約款料金!$D$14+$J$4)+約款料金!$D$13,0),IF(($A104+B$6)&gt;約款料金!$B$9,ROUNDDOWN(($A104+B$6)*(約款料金!$C$14+$J$4)+約款料金!$C$13,0),ROUNDDOWN(($A104+B$6)*(約款料金!$B$14+$J$4)+約款料金!$B$13,0)))</f>
        <v>39662</v>
      </c>
      <c r="C104" s="360">
        <f>IF(($A104+C$6)&gt;約款料金!$C$9,ROUNDDOWN(($A104+C$6)*(約款料金!$D$14+$J$4)+約款料金!$D$13,0),IF(($A104+C$6)&gt;約款料金!$B$9,ROUNDDOWN(($A104+C$6)*(約款料金!$C$14+$J$4)+約款料金!$C$13,0),ROUNDDOWN(($A104+C$6)*(約款料金!$B$14+$J$4)+約款料金!$B$13,0)))</f>
        <v>39703</v>
      </c>
      <c r="D104" s="360">
        <f>IF(($A104+D$6)&gt;約款料金!$C$9,ROUNDDOWN(($A104+D$6)*(約款料金!$D$14+$J$4)+約款料金!$D$13,0),IF(($A104+D$6)&gt;約款料金!$B$9,ROUNDDOWN(($A104+D$6)*(約款料金!$C$14+$J$4)+約款料金!$C$13,0),ROUNDDOWN(($A104+D$6)*(約款料金!$B$14+$J$4)+約款料金!$B$13,0)))</f>
        <v>39744</v>
      </c>
      <c r="E104" s="360">
        <f>IF(($A104+E$6)&gt;約款料金!$C$9,ROUNDDOWN(($A104+E$6)*(約款料金!$D$14+$J$4)+約款料金!$D$13,0),IF(($A104+E$6)&gt;約款料金!$B$9,ROUNDDOWN(($A104+E$6)*(約款料金!$C$14+$J$4)+約款料金!$C$13,0),ROUNDDOWN(($A104+E$6)*(約款料金!$B$14+$J$4)+約款料金!$B$13,0)))</f>
        <v>39784</v>
      </c>
      <c r="F104" s="360">
        <f>IF(($A104+F$6)&gt;約款料金!$C$9,ROUNDDOWN(($A104+F$6)*(約款料金!$D$14+$J$4)+約款料金!$D$13,0),IF(($A104+F$6)&gt;約款料金!$B$9,ROUNDDOWN(($A104+F$6)*(約款料金!$C$14+$J$4)+約款料金!$C$13,0),ROUNDDOWN(($A104+F$6)*(約款料金!$B$14+$J$4)+約款料金!$B$13,0)))</f>
        <v>39825</v>
      </c>
      <c r="G104" s="360">
        <f>IF(($A104+G$6)&gt;約款料金!$C$9,ROUNDDOWN(($A104+G$6)*(約款料金!$D$14+$J$4)+約款料金!$D$13,0),IF(($A104+G$6)&gt;約款料金!$B$9,ROUNDDOWN(($A104+G$6)*(約款料金!$C$14+$J$4)+約款料金!$C$13,0),ROUNDDOWN(($A104+G$6)*(約款料金!$B$14+$J$4)+約款料金!$B$13,0)))</f>
        <v>39866</v>
      </c>
      <c r="H104" s="360">
        <f>IF(($A104+H$6)&gt;約款料金!$C$9,ROUNDDOWN(($A104+H$6)*(約款料金!$D$14+$J$4)+約款料金!$D$13,0),IF(($A104+H$6)&gt;約款料金!$B$9,ROUNDDOWN(($A104+H$6)*(約款料金!$C$14+$J$4)+約款料金!$C$13,0),ROUNDDOWN(($A104+H$6)*(約款料金!$B$14+$J$4)+約款料金!$B$13,0)))</f>
        <v>39907</v>
      </c>
      <c r="I104" s="360">
        <f>IF(($A104+I$6)&gt;約款料金!$C$9,ROUNDDOWN(($A104+I$6)*(約款料金!$D$14+$J$4)+約款料金!$D$13,0),IF(($A104+I$6)&gt;約款料金!$B$9,ROUNDDOWN(($A104+I$6)*(約款料金!$C$14+$J$4)+約款料金!$C$13,0),ROUNDDOWN(($A104+I$6)*(約款料金!$B$14+$J$4)+約款料金!$B$13,0)))</f>
        <v>39948</v>
      </c>
      <c r="J104" s="360">
        <f>IF(($A104+J$6)&gt;約款料金!$C$9,ROUNDDOWN(($A104+J$6)*(約款料金!$D$14+$J$4)+約款料金!$D$13,0),IF(($A104+J$6)&gt;約款料金!$B$9,ROUNDDOWN(($A104+J$6)*(約款料金!$C$14+$J$4)+約款料金!$C$13,0),ROUNDDOWN(($A104+J$6)*(約款料金!$B$14+$J$4)+約款料金!$B$13,0)))</f>
        <v>39988</v>
      </c>
      <c r="K104" s="366">
        <f>IF(($A104+K$6)&gt;約款料金!$C$9,ROUNDDOWN(($A104+K$6)*(約款料金!$D$14+$J$4)+約款料金!$D$13,0),IF(($A104+K$6)&gt;約款料金!$B$9,ROUNDDOWN(($A104+K$6)*(約款料金!$C$14+$J$4)+約款料金!$C$13,0),ROUNDDOWN(($A104+K$6)*(約款料金!$B$14+$J$4)+約款料金!$B$13,0)))</f>
        <v>40029</v>
      </c>
    </row>
    <row r="105" spans="1:11">
      <c r="A105" s="380">
        <v>92</v>
      </c>
      <c r="B105" s="365">
        <f>IF(($A105+B$6)&gt;約款料金!$C$9,ROUNDDOWN(($A105+B$6)*(約款料金!$D$14+$J$4)+約款料金!$D$13,0),IF(($A105+B$6)&gt;約款料金!$B$9,ROUNDDOWN(($A105+B$6)*(約款料金!$C$14+$J$4)+約款料金!$C$13,0),ROUNDDOWN(($A105+B$6)*(約款料金!$B$14+$J$4)+約款料金!$B$13,0)))</f>
        <v>40070</v>
      </c>
      <c r="C105" s="360">
        <f>IF(($A105+C$6)&gt;約款料金!$C$9,ROUNDDOWN(($A105+C$6)*(約款料金!$D$14+$J$4)+約款料金!$D$13,0),IF(($A105+C$6)&gt;約款料金!$B$9,ROUNDDOWN(($A105+C$6)*(約款料金!$C$14+$J$4)+約款料金!$C$13,0),ROUNDDOWN(($A105+C$6)*(約款料金!$B$14+$J$4)+約款料金!$B$13,0)))</f>
        <v>40111</v>
      </c>
      <c r="D105" s="360">
        <f>IF(($A105+D$6)&gt;約款料金!$C$9,ROUNDDOWN(($A105+D$6)*(約款料金!$D$14+$J$4)+約款料金!$D$13,0),IF(($A105+D$6)&gt;約款料金!$B$9,ROUNDDOWN(($A105+D$6)*(約款料金!$C$14+$J$4)+約款料金!$C$13,0),ROUNDDOWN(($A105+D$6)*(約款料金!$B$14+$J$4)+約款料金!$B$13,0)))</f>
        <v>40152</v>
      </c>
      <c r="E105" s="360">
        <f>IF(($A105+E$6)&gt;約款料金!$C$9,ROUNDDOWN(($A105+E$6)*(約款料金!$D$14+$J$4)+約款料金!$D$13,0),IF(($A105+E$6)&gt;約款料金!$B$9,ROUNDDOWN(($A105+E$6)*(約款料金!$C$14+$J$4)+約款料金!$C$13,0),ROUNDDOWN(($A105+E$6)*(約款料金!$B$14+$J$4)+約款料金!$B$13,0)))</f>
        <v>40193</v>
      </c>
      <c r="F105" s="360">
        <f>IF(($A105+F$6)&gt;約款料金!$C$9,ROUNDDOWN(($A105+F$6)*(約款料金!$D$14+$J$4)+約款料金!$D$13,0),IF(($A105+F$6)&gt;約款料金!$B$9,ROUNDDOWN(($A105+F$6)*(約款料金!$C$14+$J$4)+約款料金!$C$13,0),ROUNDDOWN(($A105+F$6)*(約款料金!$B$14+$J$4)+約款料金!$B$13,0)))</f>
        <v>40233</v>
      </c>
      <c r="G105" s="360">
        <f>IF(($A105+G$6)&gt;約款料金!$C$9,ROUNDDOWN(($A105+G$6)*(約款料金!$D$14+$J$4)+約款料金!$D$13,0),IF(($A105+G$6)&gt;約款料金!$B$9,ROUNDDOWN(($A105+G$6)*(約款料金!$C$14+$J$4)+約款料金!$C$13,0),ROUNDDOWN(($A105+G$6)*(約款料金!$B$14+$J$4)+約款料金!$B$13,0)))</f>
        <v>40274</v>
      </c>
      <c r="H105" s="360">
        <f>IF(($A105+H$6)&gt;約款料金!$C$9,ROUNDDOWN(($A105+H$6)*(約款料金!$D$14+$J$4)+約款料金!$D$13,0),IF(($A105+H$6)&gt;約款料金!$B$9,ROUNDDOWN(($A105+H$6)*(約款料金!$C$14+$J$4)+約款料金!$C$13,0),ROUNDDOWN(($A105+H$6)*(約款料金!$B$14+$J$4)+約款料金!$B$13,0)))</f>
        <v>40315</v>
      </c>
      <c r="I105" s="360">
        <f>IF(($A105+I$6)&gt;約款料金!$C$9,ROUNDDOWN(($A105+I$6)*(約款料金!$D$14+$J$4)+約款料金!$D$13,0),IF(($A105+I$6)&gt;約款料金!$B$9,ROUNDDOWN(($A105+I$6)*(約款料金!$C$14+$J$4)+約款料金!$C$13,0),ROUNDDOWN(($A105+I$6)*(約款料金!$B$14+$J$4)+約款料金!$B$13,0)))</f>
        <v>40356</v>
      </c>
      <c r="J105" s="360">
        <f>IF(($A105+J$6)&gt;約款料金!$C$9,ROUNDDOWN(($A105+J$6)*(約款料金!$D$14+$J$4)+約款料金!$D$13,0),IF(($A105+J$6)&gt;約款料金!$B$9,ROUNDDOWN(($A105+J$6)*(約款料金!$C$14+$J$4)+約款料金!$C$13,0),ROUNDDOWN(($A105+J$6)*(約款料金!$B$14+$J$4)+約款料金!$B$13,0)))</f>
        <v>40397</v>
      </c>
      <c r="K105" s="366">
        <f>IF(($A105+K$6)&gt;約款料金!$C$9,ROUNDDOWN(($A105+K$6)*(約款料金!$D$14+$J$4)+約款料金!$D$13,0),IF(($A105+K$6)&gt;約款料金!$B$9,ROUNDDOWN(($A105+K$6)*(約款料金!$C$14+$J$4)+約款料金!$C$13,0),ROUNDDOWN(($A105+K$6)*(約款料金!$B$14+$J$4)+約款料金!$B$13,0)))</f>
        <v>40437</v>
      </c>
    </row>
    <row r="106" spans="1:11">
      <c r="A106" s="380">
        <v>93</v>
      </c>
      <c r="B106" s="365">
        <f>IF(($A106+B$6)&gt;約款料金!$C$9,ROUNDDOWN(($A106+B$6)*(約款料金!$D$14+$J$4)+約款料金!$D$13,0),IF(($A106+B$6)&gt;約款料金!$B$9,ROUNDDOWN(($A106+B$6)*(約款料金!$C$14+$J$4)+約款料金!$C$13,0),ROUNDDOWN(($A106+B$6)*(約款料金!$B$14+$J$4)+約款料金!$B$13,0)))</f>
        <v>40478</v>
      </c>
      <c r="C106" s="360">
        <f>IF(($A106+C$6)&gt;約款料金!$C$9,ROUNDDOWN(($A106+C$6)*(約款料金!$D$14+$J$4)+約款料金!$D$13,0),IF(($A106+C$6)&gt;約款料金!$B$9,ROUNDDOWN(($A106+C$6)*(約款料金!$C$14+$J$4)+約款料金!$C$13,0),ROUNDDOWN(($A106+C$6)*(約款料金!$B$14+$J$4)+約款料金!$B$13,0)))</f>
        <v>40519</v>
      </c>
      <c r="D106" s="360">
        <f>IF(($A106+D$6)&gt;約款料金!$C$9,ROUNDDOWN(($A106+D$6)*(約款料金!$D$14+$J$4)+約款料金!$D$13,0),IF(($A106+D$6)&gt;約款料金!$B$9,ROUNDDOWN(($A106+D$6)*(約款料金!$C$14+$J$4)+約款料金!$C$13,0),ROUNDDOWN(($A106+D$6)*(約款料金!$B$14+$J$4)+約款料金!$B$13,0)))</f>
        <v>40560</v>
      </c>
      <c r="E106" s="360">
        <f>IF(($A106+E$6)&gt;約款料金!$C$9,ROUNDDOWN(($A106+E$6)*(約款料金!$D$14+$J$4)+約款料金!$D$13,0),IF(($A106+E$6)&gt;約款料金!$B$9,ROUNDDOWN(($A106+E$6)*(約款料金!$C$14+$J$4)+約款料金!$C$13,0),ROUNDDOWN(($A106+E$6)*(約款料金!$B$14+$J$4)+約款料金!$B$13,0)))</f>
        <v>40601</v>
      </c>
      <c r="F106" s="360">
        <f>IF(($A106+F$6)&gt;約款料金!$C$9,ROUNDDOWN(($A106+F$6)*(約款料金!$D$14+$J$4)+約款料金!$D$13,0),IF(($A106+F$6)&gt;約款料金!$B$9,ROUNDDOWN(($A106+F$6)*(約款料金!$C$14+$J$4)+約款料金!$C$13,0),ROUNDDOWN(($A106+F$6)*(約款料金!$B$14+$J$4)+約款料金!$B$13,0)))</f>
        <v>40642</v>
      </c>
      <c r="G106" s="360">
        <f>IF(($A106+G$6)&gt;約款料金!$C$9,ROUNDDOWN(($A106+G$6)*(約款料金!$D$14+$J$4)+約款料金!$D$13,0),IF(($A106+G$6)&gt;約款料金!$B$9,ROUNDDOWN(($A106+G$6)*(約款料金!$C$14+$J$4)+約款料金!$C$13,0),ROUNDDOWN(($A106+G$6)*(約款料金!$B$14+$J$4)+約款料金!$B$13,0)))</f>
        <v>40682</v>
      </c>
      <c r="H106" s="360">
        <f>IF(($A106+H$6)&gt;約款料金!$C$9,ROUNDDOWN(($A106+H$6)*(約款料金!$D$14+$J$4)+約款料金!$D$13,0),IF(($A106+H$6)&gt;約款料金!$B$9,ROUNDDOWN(($A106+H$6)*(約款料金!$C$14+$J$4)+約款料金!$C$13,0),ROUNDDOWN(($A106+H$6)*(約款料金!$B$14+$J$4)+約款料金!$B$13,0)))</f>
        <v>40723</v>
      </c>
      <c r="I106" s="360">
        <f>IF(($A106+I$6)&gt;約款料金!$C$9,ROUNDDOWN(($A106+I$6)*(約款料金!$D$14+$J$4)+約款料金!$D$13,0),IF(($A106+I$6)&gt;約款料金!$B$9,ROUNDDOWN(($A106+I$6)*(約款料金!$C$14+$J$4)+約款料金!$C$13,0),ROUNDDOWN(($A106+I$6)*(約款料金!$B$14+$J$4)+約款料金!$B$13,0)))</f>
        <v>40764</v>
      </c>
      <c r="J106" s="360">
        <f>IF(($A106+J$6)&gt;約款料金!$C$9,ROUNDDOWN(($A106+J$6)*(約款料金!$D$14+$J$4)+約款料金!$D$13,0),IF(($A106+J$6)&gt;約款料金!$B$9,ROUNDDOWN(($A106+J$6)*(約款料金!$C$14+$J$4)+約款料金!$C$13,0),ROUNDDOWN(($A106+J$6)*(約款料金!$B$14+$J$4)+約款料金!$B$13,0)))</f>
        <v>40805</v>
      </c>
      <c r="K106" s="366">
        <f>IF(($A106+K$6)&gt;約款料金!$C$9,ROUNDDOWN(($A106+K$6)*(約款料金!$D$14+$J$4)+約款料金!$D$13,0),IF(($A106+K$6)&gt;約款料金!$B$9,ROUNDDOWN(($A106+K$6)*(約款料金!$C$14+$J$4)+約款料金!$C$13,0),ROUNDDOWN(($A106+K$6)*(約款料金!$B$14+$J$4)+約款料金!$B$13,0)))</f>
        <v>40846</v>
      </c>
    </row>
    <row r="107" spans="1:11">
      <c r="A107" s="380">
        <v>94</v>
      </c>
      <c r="B107" s="365">
        <f>IF(($A107+B$6)&gt;約款料金!$C$9,ROUNDDOWN(($A107+B$6)*(約款料金!$D$14+$J$4)+約款料金!$D$13,0),IF(($A107+B$6)&gt;約款料金!$B$9,ROUNDDOWN(($A107+B$6)*(約款料金!$C$14+$J$4)+約款料金!$C$13,0),ROUNDDOWN(($A107+B$6)*(約款料金!$B$14+$J$4)+約款料金!$B$13,0)))</f>
        <v>40887</v>
      </c>
      <c r="C107" s="360">
        <f>IF(($A107+C$6)&gt;約款料金!$C$9,ROUNDDOWN(($A107+C$6)*(約款料金!$D$14+$J$4)+約款料金!$D$13,0),IF(($A107+C$6)&gt;約款料金!$B$9,ROUNDDOWN(($A107+C$6)*(約款料金!$C$14+$J$4)+約款料金!$C$13,0),ROUNDDOWN(($A107+C$6)*(約款料金!$B$14+$J$4)+約款料金!$B$13,0)))</f>
        <v>40927</v>
      </c>
      <c r="D107" s="360">
        <f>IF(($A107+D$6)&gt;約款料金!$C$9,ROUNDDOWN(($A107+D$6)*(約款料金!$D$14+$J$4)+約款料金!$D$13,0),IF(($A107+D$6)&gt;約款料金!$B$9,ROUNDDOWN(($A107+D$6)*(約款料金!$C$14+$J$4)+約款料金!$C$13,0),ROUNDDOWN(($A107+D$6)*(約款料金!$B$14+$J$4)+約款料金!$B$13,0)))</f>
        <v>40968</v>
      </c>
      <c r="E107" s="360">
        <f>IF(($A107+E$6)&gt;約款料金!$C$9,ROUNDDOWN(($A107+E$6)*(約款料金!$D$14+$J$4)+約款料金!$D$13,0),IF(($A107+E$6)&gt;約款料金!$B$9,ROUNDDOWN(($A107+E$6)*(約款料金!$C$14+$J$4)+約款料金!$C$13,0),ROUNDDOWN(($A107+E$6)*(約款料金!$B$14+$J$4)+約款料金!$B$13,0)))</f>
        <v>41009</v>
      </c>
      <c r="F107" s="360">
        <f>IF(($A107+F$6)&gt;約款料金!$C$9,ROUNDDOWN(($A107+F$6)*(約款料金!$D$14+$J$4)+約款料金!$D$13,0),IF(($A107+F$6)&gt;約款料金!$B$9,ROUNDDOWN(($A107+F$6)*(約款料金!$C$14+$J$4)+約款料金!$C$13,0),ROUNDDOWN(($A107+F$6)*(約款料金!$B$14+$J$4)+約款料金!$B$13,0)))</f>
        <v>41050</v>
      </c>
      <c r="G107" s="360">
        <f>IF(($A107+G$6)&gt;約款料金!$C$9,ROUNDDOWN(($A107+G$6)*(約款料金!$D$14+$J$4)+約款料金!$D$13,0),IF(($A107+G$6)&gt;約款料金!$B$9,ROUNDDOWN(($A107+G$6)*(約款料金!$C$14+$J$4)+約款料金!$C$13,0),ROUNDDOWN(($A107+G$6)*(約款料金!$B$14+$J$4)+約款料金!$B$13,0)))</f>
        <v>41091</v>
      </c>
      <c r="H107" s="360">
        <f>IF(($A107+H$6)&gt;約款料金!$C$9,ROUNDDOWN(($A107+H$6)*(約款料金!$D$14+$J$4)+約款料金!$D$13,0),IF(($A107+H$6)&gt;約款料金!$B$9,ROUNDDOWN(($A107+H$6)*(約款料金!$C$14+$J$4)+約款料金!$C$13,0),ROUNDDOWN(($A107+H$6)*(約款料金!$B$14+$J$4)+約款料金!$B$13,0)))</f>
        <v>41131</v>
      </c>
      <c r="I107" s="360">
        <f>IF(($A107+I$6)&gt;約款料金!$C$9,ROUNDDOWN(($A107+I$6)*(約款料金!$D$14+$J$4)+約款料金!$D$13,0),IF(($A107+I$6)&gt;約款料金!$B$9,ROUNDDOWN(($A107+I$6)*(約款料金!$C$14+$J$4)+約款料金!$C$13,0),ROUNDDOWN(($A107+I$6)*(約款料金!$B$14+$J$4)+約款料金!$B$13,0)))</f>
        <v>41172</v>
      </c>
      <c r="J107" s="360">
        <f>IF(($A107+J$6)&gt;約款料金!$C$9,ROUNDDOWN(($A107+J$6)*(約款料金!$D$14+$J$4)+約款料金!$D$13,0),IF(($A107+J$6)&gt;約款料金!$B$9,ROUNDDOWN(($A107+J$6)*(約款料金!$C$14+$J$4)+約款料金!$C$13,0),ROUNDDOWN(($A107+J$6)*(約款料金!$B$14+$J$4)+約款料金!$B$13,0)))</f>
        <v>41213</v>
      </c>
      <c r="K107" s="366">
        <f>IF(($A107+K$6)&gt;約款料金!$C$9,ROUNDDOWN(($A107+K$6)*(約款料金!$D$14+$J$4)+約款料金!$D$13,0),IF(($A107+K$6)&gt;約款料金!$B$9,ROUNDDOWN(($A107+K$6)*(約款料金!$C$14+$J$4)+約款料金!$C$13,0),ROUNDDOWN(($A107+K$6)*(約款料金!$B$14+$J$4)+約款料金!$B$13,0)))</f>
        <v>41254</v>
      </c>
    </row>
    <row r="108" spans="1:11">
      <c r="A108" s="382">
        <v>95</v>
      </c>
      <c r="B108" s="371">
        <f>IF(($A108+B$6)&gt;約款料金!$C$9,ROUNDDOWN(($A108+B$6)*(約款料金!$D$14+$J$4)+約款料金!$D$13,0),IF(($A108+B$6)&gt;約款料金!$B$9,ROUNDDOWN(($A108+B$6)*(約款料金!$C$14+$J$4)+約款料金!$C$13,0),ROUNDDOWN(($A108+B$6)*(約款料金!$B$14+$J$4)+約款料金!$B$13,0)))</f>
        <v>41295</v>
      </c>
      <c r="C108" s="372">
        <f>IF(($A108+C$6)&gt;約款料金!$C$9,ROUNDDOWN(($A108+C$6)*(約款料金!$D$14+$J$4)+約款料金!$D$13,0),IF(($A108+C$6)&gt;約款料金!$B$9,ROUNDDOWN(($A108+C$6)*(約款料金!$C$14+$J$4)+約款料金!$C$13,0),ROUNDDOWN(($A108+C$6)*(約款料金!$B$14+$J$4)+約款料金!$B$13,0)))</f>
        <v>41336</v>
      </c>
      <c r="D108" s="372">
        <f>IF(($A108+D$6)&gt;約款料金!$C$9,ROUNDDOWN(($A108+D$6)*(約款料金!$D$14+$J$4)+約款料金!$D$13,0),IF(($A108+D$6)&gt;約款料金!$B$9,ROUNDDOWN(($A108+D$6)*(約款料金!$C$14+$J$4)+約款料金!$C$13,0),ROUNDDOWN(($A108+D$6)*(約款料金!$B$14+$J$4)+約款料金!$B$13,0)))</f>
        <v>41376</v>
      </c>
      <c r="E108" s="372">
        <f>IF(($A108+E$6)&gt;約款料金!$C$9,ROUNDDOWN(($A108+E$6)*(約款料金!$D$14+$J$4)+約款料金!$D$13,0),IF(($A108+E$6)&gt;約款料金!$B$9,ROUNDDOWN(($A108+E$6)*(約款料金!$C$14+$J$4)+約款料金!$C$13,0),ROUNDDOWN(($A108+E$6)*(約款料金!$B$14+$J$4)+約款料金!$B$13,0)))</f>
        <v>41417</v>
      </c>
      <c r="F108" s="372">
        <f>IF(($A108+F$6)&gt;約款料金!$C$9,ROUNDDOWN(($A108+F$6)*(約款料金!$D$14+$J$4)+約款料金!$D$13,0),IF(($A108+F$6)&gt;約款料金!$B$9,ROUNDDOWN(($A108+F$6)*(約款料金!$C$14+$J$4)+約款料金!$C$13,0),ROUNDDOWN(($A108+F$6)*(約款料金!$B$14+$J$4)+約款料金!$B$13,0)))</f>
        <v>41458</v>
      </c>
      <c r="G108" s="372">
        <f>IF(($A108+G$6)&gt;約款料金!$C$9,ROUNDDOWN(($A108+G$6)*(約款料金!$D$14+$J$4)+約款料金!$D$13,0),IF(($A108+G$6)&gt;約款料金!$B$9,ROUNDDOWN(($A108+G$6)*(約款料金!$C$14+$J$4)+約款料金!$C$13,0),ROUNDDOWN(($A108+G$6)*(約款料金!$B$14+$J$4)+約款料金!$B$13,0)))</f>
        <v>41499</v>
      </c>
      <c r="H108" s="372">
        <f>IF(($A108+H$6)&gt;約款料金!$C$9,ROUNDDOWN(($A108+H$6)*(約款料金!$D$14+$J$4)+約款料金!$D$13,0),IF(($A108+H$6)&gt;約款料金!$B$9,ROUNDDOWN(($A108+H$6)*(約款料金!$C$14+$J$4)+約款料金!$C$13,0),ROUNDDOWN(($A108+H$6)*(約款料金!$B$14+$J$4)+約款料金!$B$13,0)))</f>
        <v>41540</v>
      </c>
      <c r="I108" s="372">
        <f>IF(($A108+I$6)&gt;約款料金!$C$9,ROUNDDOWN(($A108+I$6)*(約款料金!$D$14+$J$4)+約款料金!$D$13,0),IF(($A108+I$6)&gt;約款料金!$B$9,ROUNDDOWN(($A108+I$6)*(約款料金!$C$14+$J$4)+約款料金!$C$13,0),ROUNDDOWN(($A108+I$6)*(約款料金!$B$14+$J$4)+約款料金!$B$13,0)))</f>
        <v>41580</v>
      </c>
      <c r="J108" s="372">
        <f>IF(($A108+J$6)&gt;約款料金!$C$9,ROUNDDOWN(($A108+J$6)*(約款料金!$D$14+$J$4)+約款料金!$D$13,0),IF(($A108+J$6)&gt;約款料金!$B$9,ROUNDDOWN(($A108+J$6)*(約款料金!$C$14+$J$4)+約款料金!$C$13,0),ROUNDDOWN(($A108+J$6)*(約款料金!$B$14+$J$4)+約款料金!$B$13,0)))</f>
        <v>41621</v>
      </c>
      <c r="K108" s="373">
        <f>IF(($A108+K$6)&gt;約款料金!$C$9,ROUNDDOWN(($A108+K$6)*(約款料金!$D$14+$J$4)+約款料金!$D$13,0),IF(($A108+K$6)&gt;約款料金!$B$9,ROUNDDOWN(($A108+K$6)*(約款料金!$C$14+$J$4)+約款料金!$C$13,0),ROUNDDOWN(($A108+K$6)*(約款料金!$B$14+$J$4)+約款料金!$B$13,0)))</f>
        <v>41662</v>
      </c>
    </row>
    <row r="109" spans="1:11">
      <c r="A109" s="379">
        <v>96</v>
      </c>
      <c r="B109" s="365">
        <f>IF(($A109+B$6)&gt;約款料金!$C$9,ROUNDDOWN(($A109+B$6)*(約款料金!$D$14+$J$4)+約款料金!$D$13,0),IF(($A109+B$6)&gt;約款料金!$B$9,ROUNDDOWN(($A109+B$6)*(約款料金!$C$14+$J$4)+約款料金!$C$13,0),ROUNDDOWN(($A109+B$6)*(約款料金!$B$14+$J$4)+約款料金!$B$13,0)))</f>
        <v>41703</v>
      </c>
      <c r="C109" s="360">
        <f>IF(($A109+C$6)&gt;約款料金!$C$9,ROUNDDOWN(($A109+C$6)*(約款料金!$D$14+$J$4)+約款料金!$D$13,0),IF(($A109+C$6)&gt;約款料金!$B$9,ROUNDDOWN(($A109+C$6)*(約款料金!$C$14+$J$4)+約款料金!$C$13,0),ROUNDDOWN(($A109+C$6)*(約款料金!$B$14+$J$4)+約款料金!$B$13,0)))</f>
        <v>41744</v>
      </c>
      <c r="D109" s="360">
        <f>IF(($A109+D$6)&gt;約款料金!$C$9,ROUNDDOWN(($A109+D$6)*(約款料金!$D$14+$J$4)+約款料金!$D$13,0),IF(($A109+D$6)&gt;約款料金!$B$9,ROUNDDOWN(($A109+D$6)*(約款料金!$C$14+$J$4)+約款料金!$C$13,0),ROUNDDOWN(($A109+D$6)*(約款料金!$B$14+$J$4)+約款料金!$B$13,0)))</f>
        <v>41785</v>
      </c>
      <c r="E109" s="360">
        <f>IF(($A109+E$6)&gt;約款料金!$C$9,ROUNDDOWN(($A109+E$6)*(約款料金!$D$14+$J$4)+約款料金!$D$13,0),IF(($A109+E$6)&gt;約款料金!$B$9,ROUNDDOWN(($A109+E$6)*(約款料金!$C$14+$J$4)+約款料金!$C$13,0),ROUNDDOWN(($A109+E$6)*(約款料金!$B$14+$J$4)+約款料金!$B$13,0)))</f>
        <v>41825</v>
      </c>
      <c r="F109" s="360">
        <f>IF(($A109+F$6)&gt;約款料金!$C$9,ROUNDDOWN(($A109+F$6)*(約款料金!$D$14+$J$4)+約款料金!$D$13,0),IF(($A109+F$6)&gt;約款料金!$B$9,ROUNDDOWN(($A109+F$6)*(約款料金!$C$14+$J$4)+約款料金!$C$13,0),ROUNDDOWN(($A109+F$6)*(約款料金!$B$14+$J$4)+約款料金!$B$13,0)))</f>
        <v>41866</v>
      </c>
      <c r="G109" s="360">
        <f>IF(($A109+G$6)&gt;約款料金!$C$9,ROUNDDOWN(($A109+G$6)*(約款料金!$D$14+$J$4)+約款料金!$D$13,0),IF(($A109+G$6)&gt;約款料金!$B$9,ROUNDDOWN(($A109+G$6)*(約款料金!$C$14+$J$4)+約款料金!$C$13,0),ROUNDDOWN(($A109+G$6)*(約款料金!$B$14+$J$4)+約款料金!$B$13,0)))</f>
        <v>41907</v>
      </c>
      <c r="H109" s="360">
        <f>IF(($A109+H$6)&gt;約款料金!$C$9,ROUNDDOWN(($A109+H$6)*(約款料金!$D$14+$J$4)+約款料金!$D$13,0),IF(($A109+H$6)&gt;約款料金!$B$9,ROUNDDOWN(($A109+H$6)*(約款料金!$C$14+$J$4)+約款料金!$C$13,0),ROUNDDOWN(($A109+H$6)*(約款料金!$B$14+$J$4)+約款料金!$B$13,0)))</f>
        <v>41948</v>
      </c>
      <c r="I109" s="360">
        <f>IF(($A109+I$6)&gt;約款料金!$C$9,ROUNDDOWN(($A109+I$6)*(約款料金!$D$14+$J$4)+約款料金!$D$13,0),IF(($A109+I$6)&gt;約款料金!$B$9,ROUNDDOWN(($A109+I$6)*(約款料金!$C$14+$J$4)+約款料金!$C$13,0),ROUNDDOWN(($A109+I$6)*(約款料金!$B$14+$J$4)+約款料金!$B$13,0)))</f>
        <v>41989</v>
      </c>
      <c r="J109" s="360">
        <f>IF(($A109+J$6)&gt;約款料金!$C$9,ROUNDDOWN(($A109+J$6)*(約款料金!$D$14+$J$4)+約款料金!$D$13,0),IF(($A109+J$6)&gt;約款料金!$B$9,ROUNDDOWN(($A109+J$6)*(約款料金!$C$14+$J$4)+約款料金!$C$13,0),ROUNDDOWN(($A109+J$6)*(約款料金!$B$14+$J$4)+約款料金!$B$13,0)))</f>
        <v>42029</v>
      </c>
      <c r="K109" s="366">
        <f>IF(($A109+K$6)&gt;約款料金!$C$9,ROUNDDOWN(($A109+K$6)*(約款料金!$D$14+$J$4)+約款料金!$D$13,0),IF(($A109+K$6)&gt;約款料金!$B$9,ROUNDDOWN(($A109+K$6)*(約款料金!$C$14+$J$4)+約款料金!$C$13,0),ROUNDDOWN(($A109+K$6)*(約款料金!$B$14+$J$4)+約款料金!$B$13,0)))</f>
        <v>42070</v>
      </c>
    </row>
    <row r="110" spans="1:11">
      <c r="A110" s="380">
        <v>97</v>
      </c>
      <c r="B110" s="365">
        <f>IF(($A110+B$6)&gt;約款料金!$C$9,ROUNDDOWN(($A110+B$6)*(約款料金!$D$14+$J$4)+約款料金!$D$13,0),IF(($A110+B$6)&gt;約款料金!$B$9,ROUNDDOWN(($A110+B$6)*(約款料金!$C$14+$J$4)+約款料金!$C$13,0),ROUNDDOWN(($A110+B$6)*(約款料金!$B$14+$J$4)+約款料金!$B$13,0)))</f>
        <v>42111</v>
      </c>
      <c r="C110" s="360">
        <f>IF(($A110+C$6)&gt;約款料金!$C$9,ROUNDDOWN(($A110+C$6)*(約款料金!$D$14+$J$4)+約款料金!$D$13,0),IF(($A110+C$6)&gt;約款料金!$B$9,ROUNDDOWN(($A110+C$6)*(約款料金!$C$14+$J$4)+約款料金!$C$13,0),ROUNDDOWN(($A110+C$6)*(約款料金!$B$14+$J$4)+約款料金!$B$13,0)))</f>
        <v>42152</v>
      </c>
      <c r="D110" s="360">
        <f>IF(($A110+D$6)&gt;約款料金!$C$9,ROUNDDOWN(($A110+D$6)*(約款料金!$D$14+$J$4)+約款料金!$D$13,0),IF(($A110+D$6)&gt;約款料金!$B$9,ROUNDDOWN(($A110+D$6)*(約款料金!$C$14+$J$4)+約款料金!$C$13,0),ROUNDDOWN(($A110+D$6)*(約款料金!$B$14+$J$4)+約款料金!$B$13,0)))</f>
        <v>42193</v>
      </c>
      <c r="E110" s="360">
        <f>IF(($A110+E$6)&gt;約款料金!$C$9,ROUNDDOWN(($A110+E$6)*(約款料金!$D$14+$J$4)+約款料金!$D$13,0),IF(($A110+E$6)&gt;約款料金!$B$9,ROUNDDOWN(($A110+E$6)*(約款料金!$C$14+$J$4)+約款料金!$C$13,0),ROUNDDOWN(($A110+E$6)*(約款料金!$B$14+$J$4)+約款料金!$B$13,0)))</f>
        <v>42234</v>
      </c>
      <c r="F110" s="360">
        <f>IF(($A110+F$6)&gt;約款料金!$C$9,ROUNDDOWN(($A110+F$6)*(約款料金!$D$14+$J$4)+約款料金!$D$13,0),IF(($A110+F$6)&gt;約款料金!$B$9,ROUNDDOWN(($A110+F$6)*(約款料金!$C$14+$J$4)+約款料金!$C$13,0),ROUNDDOWN(($A110+F$6)*(約款料金!$B$14+$J$4)+約款料金!$B$13,0)))</f>
        <v>42274</v>
      </c>
      <c r="G110" s="360">
        <f>IF(($A110+G$6)&gt;約款料金!$C$9,ROUNDDOWN(($A110+G$6)*(約款料金!$D$14+$J$4)+約款料金!$D$13,0),IF(($A110+G$6)&gt;約款料金!$B$9,ROUNDDOWN(($A110+G$6)*(約款料金!$C$14+$J$4)+約款料金!$C$13,0),ROUNDDOWN(($A110+G$6)*(約款料金!$B$14+$J$4)+約款料金!$B$13,0)))</f>
        <v>42315</v>
      </c>
      <c r="H110" s="360">
        <f>IF(($A110+H$6)&gt;約款料金!$C$9,ROUNDDOWN(($A110+H$6)*(約款料金!$D$14+$J$4)+約款料金!$D$13,0),IF(($A110+H$6)&gt;約款料金!$B$9,ROUNDDOWN(($A110+H$6)*(約款料金!$C$14+$J$4)+約款料金!$C$13,0),ROUNDDOWN(($A110+H$6)*(約款料金!$B$14+$J$4)+約款料金!$B$13,0)))</f>
        <v>42356</v>
      </c>
      <c r="I110" s="360">
        <f>IF(($A110+I$6)&gt;約款料金!$C$9,ROUNDDOWN(($A110+I$6)*(約款料金!$D$14+$J$4)+約款料金!$D$13,0),IF(($A110+I$6)&gt;約款料金!$B$9,ROUNDDOWN(($A110+I$6)*(約款料金!$C$14+$J$4)+約款料金!$C$13,0),ROUNDDOWN(($A110+I$6)*(約款料金!$B$14+$J$4)+約款料金!$B$13,0)))</f>
        <v>42397</v>
      </c>
      <c r="J110" s="360">
        <f>IF(($A110+J$6)&gt;約款料金!$C$9,ROUNDDOWN(($A110+J$6)*(約款料金!$D$14+$J$4)+約款料金!$D$13,0),IF(($A110+J$6)&gt;約款料金!$B$9,ROUNDDOWN(($A110+J$6)*(約款料金!$C$14+$J$4)+約款料金!$C$13,0),ROUNDDOWN(($A110+J$6)*(約款料金!$B$14+$J$4)+約款料金!$B$13,0)))</f>
        <v>42438</v>
      </c>
      <c r="K110" s="366">
        <f>IF(($A110+K$6)&gt;約款料金!$C$9,ROUNDDOWN(($A110+K$6)*(約款料金!$D$14+$J$4)+約款料金!$D$13,0),IF(($A110+K$6)&gt;約款料金!$B$9,ROUNDDOWN(($A110+K$6)*(約款料金!$C$14+$J$4)+約款料金!$C$13,0),ROUNDDOWN(($A110+K$6)*(約款料金!$B$14+$J$4)+約款料金!$B$13,0)))</f>
        <v>42478</v>
      </c>
    </row>
    <row r="111" spans="1:11">
      <c r="A111" s="380">
        <v>98</v>
      </c>
      <c r="B111" s="365">
        <f>IF(($A111+B$6)&gt;約款料金!$C$9,ROUNDDOWN(($A111+B$6)*(約款料金!$D$14+$J$4)+約款料金!$D$13,0),IF(($A111+B$6)&gt;約款料金!$B$9,ROUNDDOWN(($A111+B$6)*(約款料金!$C$14+$J$4)+約款料金!$C$13,0),ROUNDDOWN(($A111+B$6)*(約款料金!$B$14+$J$4)+約款料金!$B$13,0)))</f>
        <v>42519</v>
      </c>
      <c r="C111" s="360">
        <f>IF(($A111+C$6)&gt;約款料金!$C$9,ROUNDDOWN(($A111+C$6)*(約款料金!$D$14+$J$4)+約款料金!$D$13,0),IF(($A111+C$6)&gt;約款料金!$B$9,ROUNDDOWN(($A111+C$6)*(約款料金!$C$14+$J$4)+約款料金!$C$13,0),ROUNDDOWN(($A111+C$6)*(約款料金!$B$14+$J$4)+約款料金!$B$13,0)))</f>
        <v>42560</v>
      </c>
      <c r="D111" s="360">
        <f>IF(($A111+D$6)&gt;約款料金!$C$9,ROUNDDOWN(($A111+D$6)*(約款料金!$D$14+$J$4)+約款料金!$D$13,0),IF(($A111+D$6)&gt;約款料金!$B$9,ROUNDDOWN(($A111+D$6)*(約款料金!$C$14+$J$4)+約款料金!$C$13,0),ROUNDDOWN(($A111+D$6)*(約款料金!$B$14+$J$4)+約款料金!$B$13,0)))</f>
        <v>42601</v>
      </c>
      <c r="E111" s="360">
        <f>IF(($A111+E$6)&gt;約款料金!$C$9,ROUNDDOWN(($A111+E$6)*(約款料金!$D$14+$J$4)+約款料金!$D$13,0),IF(($A111+E$6)&gt;約款料金!$B$9,ROUNDDOWN(($A111+E$6)*(約款料金!$C$14+$J$4)+約款料金!$C$13,0),ROUNDDOWN(($A111+E$6)*(約款料金!$B$14+$J$4)+約款料金!$B$13,0)))</f>
        <v>42642</v>
      </c>
      <c r="F111" s="360">
        <f>IF(($A111+F$6)&gt;約款料金!$C$9,ROUNDDOWN(($A111+F$6)*(約款料金!$D$14+$J$4)+約款料金!$D$13,0),IF(($A111+F$6)&gt;約款料金!$B$9,ROUNDDOWN(($A111+F$6)*(約款料金!$C$14+$J$4)+約款料金!$C$13,0),ROUNDDOWN(($A111+F$6)*(約款料金!$B$14+$J$4)+約款料金!$B$13,0)))</f>
        <v>42683</v>
      </c>
      <c r="G111" s="360">
        <f>IF(($A111+G$6)&gt;約款料金!$C$9,ROUNDDOWN(($A111+G$6)*(約款料金!$D$14+$J$4)+約款料金!$D$13,0),IF(($A111+G$6)&gt;約款料金!$B$9,ROUNDDOWN(($A111+G$6)*(約款料金!$C$14+$J$4)+約款料金!$C$13,0),ROUNDDOWN(($A111+G$6)*(約款料金!$B$14+$J$4)+約款料金!$B$13,0)))</f>
        <v>42723</v>
      </c>
      <c r="H111" s="360">
        <f>IF(($A111+H$6)&gt;約款料金!$C$9,ROUNDDOWN(($A111+H$6)*(約款料金!$D$14+$J$4)+約款料金!$D$13,0),IF(($A111+H$6)&gt;約款料金!$B$9,ROUNDDOWN(($A111+H$6)*(約款料金!$C$14+$J$4)+約款料金!$C$13,0),ROUNDDOWN(($A111+H$6)*(約款料金!$B$14+$J$4)+約款料金!$B$13,0)))</f>
        <v>42764</v>
      </c>
      <c r="I111" s="360">
        <f>IF(($A111+I$6)&gt;約款料金!$C$9,ROUNDDOWN(($A111+I$6)*(約款料金!$D$14+$J$4)+約款料金!$D$13,0),IF(($A111+I$6)&gt;約款料金!$B$9,ROUNDDOWN(($A111+I$6)*(約款料金!$C$14+$J$4)+約款料金!$C$13,0),ROUNDDOWN(($A111+I$6)*(約款料金!$B$14+$J$4)+約款料金!$B$13,0)))</f>
        <v>42805</v>
      </c>
      <c r="J111" s="360">
        <f>IF(($A111+J$6)&gt;約款料金!$C$9,ROUNDDOWN(($A111+J$6)*(約款料金!$D$14+$J$4)+約款料金!$D$13,0),IF(($A111+J$6)&gt;約款料金!$B$9,ROUNDDOWN(($A111+J$6)*(約款料金!$C$14+$J$4)+約款料金!$C$13,0),ROUNDDOWN(($A111+J$6)*(約款料金!$B$14+$J$4)+約款料金!$B$13,0)))</f>
        <v>42846</v>
      </c>
      <c r="K111" s="366">
        <f>IF(($A111+K$6)&gt;約款料金!$C$9,ROUNDDOWN(($A111+K$6)*(約款料金!$D$14+$J$4)+約款料金!$D$13,0),IF(($A111+K$6)&gt;約款料金!$B$9,ROUNDDOWN(($A111+K$6)*(約款料金!$C$14+$J$4)+約款料金!$C$13,0),ROUNDDOWN(($A111+K$6)*(約款料金!$B$14+$J$4)+約款料金!$B$13,0)))</f>
        <v>42887</v>
      </c>
    </row>
    <row r="112" spans="1:11" ht="14.5" thickBot="1">
      <c r="A112" s="384">
        <v>99</v>
      </c>
      <c r="B112" s="361">
        <f>IF(($A112+B$6)&gt;約款料金!$C$9,ROUNDDOWN(($A112+B$6)*(約款料金!$D$14+$J$4)+約款料金!$D$13,0),IF(($A112+B$6)&gt;約款料金!$B$9,ROUNDDOWN(($A112+B$6)*(約款料金!$C$14+$J$4)+約款料金!$C$13,0),ROUNDDOWN(($A112+B$6)*(約款料金!$B$14+$J$4)+約款料金!$B$13,0)))</f>
        <v>42928</v>
      </c>
      <c r="C112" s="362">
        <f>IF(($A112+C$6)&gt;約款料金!$C$9,ROUNDDOWN(($A112+C$6)*(約款料金!$D$14+$J$4)+約款料金!$D$13,0),IF(($A112+C$6)&gt;約款料金!$B$9,ROUNDDOWN(($A112+C$6)*(約款料金!$C$14+$J$4)+約款料金!$C$13,0),ROUNDDOWN(($A112+C$6)*(約款料金!$B$14+$J$4)+約款料金!$B$13,0)))</f>
        <v>42968</v>
      </c>
      <c r="D112" s="362">
        <f>IF(($A112+D$6)&gt;約款料金!$C$9,ROUNDDOWN(($A112+D$6)*(約款料金!$D$14+$J$4)+約款料金!$D$13,0),IF(($A112+D$6)&gt;約款料金!$B$9,ROUNDDOWN(($A112+D$6)*(約款料金!$C$14+$J$4)+約款料金!$C$13,0),ROUNDDOWN(($A112+D$6)*(約款料金!$B$14+$J$4)+約款料金!$B$13,0)))</f>
        <v>43009</v>
      </c>
      <c r="E112" s="362">
        <f>IF(($A112+E$6)&gt;約款料金!$C$9,ROUNDDOWN(($A112+E$6)*(約款料金!$D$14+$J$4)+約款料金!$D$13,0),IF(($A112+E$6)&gt;約款料金!$B$9,ROUNDDOWN(($A112+E$6)*(約款料金!$C$14+$J$4)+約款料金!$C$13,0),ROUNDDOWN(($A112+E$6)*(約款料金!$B$14+$J$4)+約款料金!$B$13,0)))</f>
        <v>43050</v>
      </c>
      <c r="F112" s="362">
        <f>IF(($A112+F$6)&gt;約款料金!$C$9,ROUNDDOWN(($A112+F$6)*(約款料金!$D$14+$J$4)+約款料金!$D$13,0),IF(($A112+F$6)&gt;約款料金!$B$9,ROUNDDOWN(($A112+F$6)*(約款料金!$C$14+$J$4)+約款料金!$C$13,0),ROUNDDOWN(($A112+F$6)*(約款料金!$B$14+$J$4)+約款料金!$B$13,0)))</f>
        <v>43091</v>
      </c>
      <c r="G112" s="362">
        <f>IF(($A112+G$6)&gt;約款料金!$C$9,ROUNDDOWN(($A112+G$6)*(約款料金!$D$14+$J$4)+約款料金!$D$13,0),IF(($A112+G$6)&gt;約款料金!$B$9,ROUNDDOWN(($A112+G$6)*(約款料金!$C$14+$J$4)+約款料金!$C$13,0),ROUNDDOWN(($A112+G$6)*(約款料金!$B$14+$J$4)+約款料金!$B$13,0)))</f>
        <v>43132</v>
      </c>
      <c r="H112" s="362">
        <f>IF(($A112+H$6)&gt;約款料金!$C$9,ROUNDDOWN(($A112+H$6)*(約款料金!$D$14+$J$4)+約款料金!$D$13,0),IF(($A112+H$6)&gt;約款料金!$B$9,ROUNDDOWN(($A112+H$6)*(約款料金!$C$14+$J$4)+約款料金!$C$13,0),ROUNDDOWN(($A112+H$6)*(約款料金!$B$14+$J$4)+約款料金!$B$13,0)))</f>
        <v>43172</v>
      </c>
      <c r="I112" s="362">
        <f>IF(($A112+I$6)&gt;約款料金!$C$9,ROUNDDOWN(($A112+I$6)*(約款料金!$D$14+$J$4)+約款料金!$D$13,0),IF(($A112+I$6)&gt;約款料金!$B$9,ROUNDDOWN(($A112+I$6)*(約款料金!$C$14+$J$4)+約款料金!$C$13,0),ROUNDDOWN(($A112+I$6)*(約款料金!$B$14+$J$4)+約款料金!$B$13,0)))</f>
        <v>43213</v>
      </c>
      <c r="J112" s="362">
        <f>IF(($A112+J$6)&gt;約款料金!$C$9,ROUNDDOWN(($A112+J$6)*(約款料金!$D$14+$J$4)+約款料金!$D$13,0),IF(($A112+J$6)&gt;約款料金!$B$9,ROUNDDOWN(($A112+J$6)*(約款料金!$C$14+$J$4)+約款料金!$C$13,0),ROUNDDOWN(($A112+J$6)*(約款料金!$B$14+$J$4)+約款料金!$B$13,0)))</f>
        <v>43254</v>
      </c>
      <c r="K112" s="367">
        <f>IF(($A112+K$6)&gt;約款料金!$C$9,ROUNDDOWN(($A112+K$6)*(約款料金!$D$14+$J$4)+約款料金!$D$13,0),IF(($A112+K$6)&gt;約款料金!$B$9,ROUNDDOWN(($A112+K$6)*(約款料金!$C$14+$J$4)+約款料金!$C$13,0),ROUNDDOWN(($A112+K$6)*(約款料金!$B$14+$J$4)+約款料金!$B$13,0)))</f>
        <v>43295</v>
      </c>
    </row>
    <row r="113" spans="10:11">
      <c r="J113" s="723"/>
      <c r="K113" s="721"/>
    </row>
  </sheetData>
  <sheetProtection sheet="1"/>
  <mergeCells count="4">
    <mergeCell ref="A2:K2"/>
    <mergeCell ref="J4:K4"/>
    <mergeCell ref="A4:C5"/>
    <mergeCell ref="D3:I3"/>
  </mergeCells>
  <phoneticPr fontId="22"/>
  <pageMargins left="0.61" right="0.41" top="0.79" bottom="0.52" header="0.51200000000000001" footer="0.51200000000000001"/>
  <pageSetup paperSize="9" fitToHeight="2"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17">
    <pageSetUpPr autoPageBreaks="0" fitToPage="1"/>
  </sheetPr>
  <dimension ref="A1:K113"/>
  <sheetViews>
    <sheetView showGridLines="0" zoomScaleNormal="100" workbookViewId="0"/>
  </sheetViews>
  <sheetFormatPr defaultColWidth="9" defaultRowHeight="14"/>
  <cols>
    <col min="1" max="1" width="3.58203125" style="149" customWidth="1"/>
    <col min="2" max="11" width="8.25" style="149" customWidth="1"/>
    <col min="12" max="16384" width="9" style="149"/>
  </cols>
  <sheetData>
    <row r="1" spans="1:11" ht="19">
      <c r="A1" s="355" t="s">
        <v>822</v>
      </c>
      <c r="B1" s="355"/>
      <c r="C1" s="356"/>
      <c r="D1" s="356"/>
      <c r="E1" s="356"/>
      <c r="F1" s="356"/>
      <c r="G1" s="356"/>
      <c r="H1" s="356"/>
      <c r="I1" s="356"/>
      <c r="J1" s="356"/>
      <c r="K1" s="356"/>
    </row>
    <row r="2" spans="1:11">
      <c r="A2" s="2110" t="s">
        <v>824</v>
      </c>
      <c r="B2" s="2110"/>
      <c r="C2" s="2110"/>
      <c r="D2" s="2110"/>
      <c r="E2" s="2110"/>
      <c r="F2" s="2110"/>
      <c r="G2" s="2110"/>
      <c r="H2" s="2110"/>
      <c r="I2" s="2110"/>
      <c r="J2" s="2110"/>
      <c r="K2" s="2110"/>
    </row>
    <row r="3" spans="1:11">
      <c r="A3" s="325"/>
      <c r="B3" s="325"/>
      <c r="C3" s="325"/>
      <c r="D3" s="325" t="str">
        <f>'料金表(税抜)'!D3</f>
        <v>　　令和　　年　　月　～　令和　　年　　月分</v>
      </c>
      <c r="E3" s="325"/>
      <c r="F3" s="325"/>
      <c r="G3" s="325"/>
      <c r="H3" s="325"/>
      <c r="I3" s="325"/>
      <c r="J3" s="357" t="s">
        <v>828</v>
      </c>
      <c r="K3" s="973">
        <f>IF(基本入力!C7=1,約款料金!F15/100,0)</f>
        <v>0.1</v>
      </c>
    </row>
    <row r="4" spans="1:11">
      <c r="A4" s="2112" t="str">
        <f>基本入力!C4</f>
        <v>コミュニティー団地</v>
      </c>
      <c r="B4" s="2112"/>
      <c r="C4" s="2112"/>
      <c r="I4" s="433" t="s">
        <v>830</v>
      </c>
      <c r="J4" s="2111">
        <f>ROUND('料金表(税抜)'!J4*(1+K3),4)</f>
        <v>0</v>
      </c>
      <c r="K4" s="2111"/>
    </row>
    <row r="5" spans="1:11" ht="14.5" thickBot="1">
      <c r="A5" s="2113"/>
      <c r="B5" s="2113"/>
      <c r="C5" s="2113"/>
      <c r="D5" s="356"/>
      <c r="G5" s="356"/>
      <c r="K5" s="357" t="s">
        <v>857</v>
      </c>
    </row>
    <row r="6" spans="1:11" ht="14.5" thickBot="1">
      <c r="A6" s="378"/>
      <c r="B6" s="358">
        <v>0</v>
      </c>
      <c r="C6" s="358">
        <v>0.1</v>
      </c>
      <c r="D6" s="358">
        <v>0.2</v>
      </c>
      <c r="E6" s="358">
        <v>0.3</v>
      </c>
      <c r="F6" s="358">
        <v>0.4</v>
      </c>
      <c r="G6" s="358">
        <v>0.5</v>
      </c>
      <c r="H6" s="358">
        <v>0.6</v>
      </c>
      <c r="I6" s="358">
        <v>0.7</v>
      </c>
      <c r="J6" s="358">
        <v>0.8</v>
      </c>
      <c r="K6" s="359">
        <v>0.9</v>
      </c>
    </row>
    <row r="7" spans="1:11">
      <c r="A7" s="379">
        <v>0</v>
      </c>
      <c r="B7" s="368">
        <f>ROUNDDOWN('料金表(税抜)'!B7*(1+$K$3),0)</f>
        <v>1100</v>
      </c>
      <c r="C7" s="369">
        <f>ROUNDDOWN('料金表(税抜)'!C7*(1+$K$3),0)</f>
        <v>1152</v>
      </c>
      <c r="D7" s="369">
        <f>ROUNDDOWN('料金表(税抜)'!D7*(1+$K$3),0)</f>
        <v>1206</v>
      </c>
      <c r="E7" s="369">
        <f>ROUNDDOWN('料金表(税抜)'!E7*(1+$K$3),0)</f>
        <v>1260</v>
      </c>
      <c r="F7" s="369">
        <f>ROUNDDOWN('料金表(税抜)'!F7*(1+$K$3),0)</f>
        <v>1314</v>
      </c>
      <c r="G7" s="369">
        <f>ROUNDDOWN('料金表(税抜)'!G7*(1+$K$3),0)</f>
        <v>1368</v>
      </c>
      <c r="H7" s="369">
        <f>ROUNDDOWN('料金表(税抜)'!H7*(1+$K$3),0)</f>
        <v>1421</v>
      </c>
      <c r="I7" s="369">
        <f>ROUNDDOWN('料金表(税抜)'!I7*(1+$K$3),0)</f>
        <v>1475</v>
      </c>
      <c r="J7" s="369">
        <f>ROUNDDOWN('料金表(税抜)'!J7*(1+$K$3),0)</f>
        <v>1529</v>
      </c>
      <c r="K7" s="370">
        <f>ROUNDDOWN('料金表(税抜)'!K7*(1+$K$3),0)</f>
        <v>1582</v>
      </c>
    </row>
    <row r="8" spans="1:11">
      <c r="A8" s="380">
        <v>1</v>
      </c>
      <c r="B8" s="365">
        <f>ROUNDDOWN('料金表(税抜)'!B8*(1+$K$3),0)</f>
        <v>1636</v>
      </c>
      <c r="C8" s="360">
        <f>ROUNDDOWN('料金表(税抜)'!C8*(1+$K$3),0)</f>
        <v>1689</v>
      </c>
      <c r="D8" s="360">
        <f>ROUNDDOWN('料金表(税抜)'!D8*(1+$K$3),0)</f>
        <v>1743</v>
      </c>
      <c r="E8" s="360">
        <f>ROUNDDOWN('料金表(税抜)'!E8*(1+$K$3),0)</f>
        <v>1797</v>
      </c>
      <c r="F8" s="360">
        <f>ROUNDDOWN('料金表(税抜)'!F8*(1+$K$3),0)</f>
        <v>1851</v>
      </c>
      <c r="G8" s="360">
        <f>ROUNDDOWN('料金表(税抜)'!G8*(1+$K$3),0)</f>
        <v>1905</v>
      </c>
      <c r="H8" s="360">
        <f>ROUNDDOWN('料金表(税抜)'!H8*(1+$K$3),0)</f>
        <v>1958</v>
      </c>
      <c r="I8" s="360">
        <f>ROUNDDOWN('料金表(税抜)'!I8*(1+$K$3),0)</f>
        <v>2011</v>
      </c>
      <c r="J8" s="360">
        <f>ROUNDDOWN('料金表(税抜)'!J8*(1+$K$3),0)</f>
        <v>2065</v>
      </c>
      <c r="K8" s="366">
        <f>ROUNDDOWN('料金表(税抜)'!K8*(1+$K$3),0)</f>
        <v>2119</v>
      </c>
    </row>
    <row r="9" spans="1:11">
      <c r="A9" s="380">
        <v>2</v>
      </c>
      <c r="B9" s="365">
        <f>ROUNDDOWN('料金表(税抜)'!B9*(1+$K$3),0)</f>
        <v>2173</v>
      </c>
      <c r="C9" s="360">
        <f>ROUNDDOWN('料金表(税抜)'!C9*(1+$K$3),0)</f>
        <v>2226</v>
      </c>
      <c r="D9" s="360">
        <f>ROUNDDOWN('料金表(税抜)'!D9*(1+$K$3),0)</f>
        <v>2280</v>
      </c>
      <c r="E9" s="360">
        <f>ROUNDDOWN('料金表(税抜)'!E9*(1+$K$3),0)</f>
        <v>2334</v>
      </c>
      <c r="F9" s="360">
        <f>ROUNDDOWN('料金表(税抜)'!F9*(1+$K$3),0)</f>
        <v>2388</v>
      </c>
      <c r="G9" s="360">
        <f>ROUNDDOWN('料金表(税抜)'!G9*(1+$K$3),0)</f>
        <v>2442</v>
      </c>
      <c r="H9" s="360">
        <f>ROUNDDOWN('料金表(税抜)'!H9*(1+$K$3),0)</f>
        <v>2494</v>
      </c>
      <c r="I9" s="360">
        <f>ROUNDDOWN('料金表(税抜)'!I9*(1+$K$3),0)</f>
        <v>2548</v>
      </c>
      <c r="J9" s="360">
        <f>ROUNDDOWN('料金表(税抜)'!J9*(1+$K$3),0)</f>
        <v>2602</v>
      </c>
      <c r="K9" s="366">
        <f>ROUNDDOWN('料金表(税抜)'!K9*(1+$K$3),0)</f>
        <v>2656</v>
      </c>
    </row>
    <row r="10" spans="1:11">
      <c r="A10" s="380">
        <v>3</v>
      </c>
      <c r="B10" s="365">
        <f>ROUNDDOWN('料金表(税抜)'!B10*(1+$K$3),0)</f>
        <v>2710</v>
      </c>
      <c r="C10" s="360">
        <f>ROUNDDOWN('料金表(税抜)'!C10*(1+$K$3),0)</f>
        <v>2763</v>
      </c>
      <c r="D10" s="360">
        <f>ROUNDDOWN('料金表(税抜)'!D10*(1+$K$3),0)</f>
        <v>2817</v>
      </c>
      <c r="E10" s="360">
        <f>ROUNDDOWN('料金表(税抜)'!E10*(1+$K$3),0)</f>
        <v>2871</v>
      </c>
      <c r="F10" s="360">
        <f>ROUNDDOWN('料金表(税抜)'!F10*(1+$K$3),0)</f>
        <v>2924</v>
      </c>
      <c r="G10" s="360">
        <f>ROUNDDOWN('料金表(税抜)'!G10*(1+$K$3),0)</f>
        <v>2978</v>
      </c>
      <c r="H10" s="360">
        <f>ROUNDDOWN('料金表(税抜)'!H10*(1+$K$3),0)</f>
        <v>3031</v>
      </c>
      <c r="I10" s="360">
        <f>ROUNDDOWN('料金表(税抜)'!I10*(1+$K$3),0)</f>
        <v>3085</v>
      </c>
      <c r="J10" s="360">
        <f>ROUNDDOWN('料金表(税抜)'!J10*(1+$K$3),0)</f>
        <v>3139</v>
      </c>
      <c r="K10" s="366">
        <f>ROUNDDOWN('料金表(税抜)'!K10*(1+$K$3),0)</f>
        <v>3193</v>
      </c>
    </row>
    <row r="11" spans="1:11">
      <c r="A11" s="381">
        <v>4</v>
      </c>
      <c r="B11" s="374">
        <f>ROUNDDOWN('料金表(税抜)'!B11*(1+$K$3),0)</f>
        <v>3247</v>
      </c>
      <c r="C11" s="375">
        <f>ROUNDDOWN('料金表(税抜)'!C11*(1+$K$3),0)</f>
        <v>3300</v>
      </c>
      <c r="D11" s="375">
        <f>ROUNDDOWN('料金表(税抜)'!D11*(1+$K$3),0)</f>
        <v>3353</v>
      </c>
      <c r="E11" s="375">
        <f>ROUNDDOWN('料金表(税抜)'!E11*(1+$K$3),0)</f>
        <v>3407</v>
      </c>
      <c r="F11" s="375">
        <f>ROUNDDOWN('料金表(税抜)'!F11*(1+$K$3),0)</f>
        <v>3461</v>
      </c>
      <c r="G11" s="375">
        <f>ROUNDDOWN('料金表(税抜)'!G11*(1+$K$3),0)</f>
        <v>3515</v>
      </c>
      <c r="H11" s="375">
        <f>ROUNDDOWN('料金表(税抜)'!H11*(1+$K$3),0)</f>
        <v>3568</v>
      </c>
      <c r="I11" s="375">
        <f>ROUNDDOWN('料金表(税抜)'!I11*(1+$K$3),0)</f>
        <v>3622</v>
      </c>
      <c r="J11" s="375">
        <f>ROUNDDOWN('料金表(税抜)'!J11*(1+$K$3),0)</f>
        <v>3676</v>
      </c>
      <c r="K11" s="376">
        <f>ROUNDDOWN('料金表(税抜)'!K11*(1+$K$3),0)</f>
        <v>3730</v>
      </c>
    </row>
    <row r="12" spans="1:11">
      <c r="A12" s="382">
        <v>5</v>
      </c>
      <c r="B12" s="371">
        <f>ROUNDDOWN('料金表(税抜)'!B12*(1+$K$3),0)</f>
        <v>3784</v>
      </c>
      <c r="C12" s="372">
        <f>ROUNDDOWN('料金表(税抜)'!C12*(1+$K$3),0)</f>
        <v>3836</v>
      </c>
      <c r="D12" s="372">
        <f>ROUNDDOWN('料金表(税抜)'!D12*(1+$K$3),0)</f>
        <v>3890</v>
      </c>
      <c r="E12" s="372">
        <f>ROUNDDOWN('料金表(税抜)'!E12*(1+$K$3),0)</f>
        <v>3944</v>
      </c>
      <c r="F12" s="372">
        <f>ROUNDDOWN('料金表(税抜)'!F12*(1+$K$3),0)</f>
        <v>3998</v>
      </c>
      <c r="G12" s="372">
        <f>ROUNDDOWN('料金表(税抜)'!G12*(1+$K$3),0)</f>
        <v>4052</v>
      </c>
      <c r="H12" s="372">
        <f>ROUNDDOWN('料金表(税抜)'!H12*(1+$K$3),0)</f>
        <v>4105</v>
      </c>
      <c r="I12" s="372">
        <f>ROUNDDOWN('料金表(税抜)'!I12*(1+$K$3),0)</f>
        <v>4159</v>
      </c>
      <c r="J12" s="372">
        <f>ROUNDDOWN('料金表(税抜)'!J12*(1+$K$3),0)</f>
        <v>4213</v>
      </c>
      <c r="K12" s="373">
        <f>ROUNDDOWN('料金表(税抜)'!K12*(1+$K$3),0)</f>
        <v>4266</v>
      </c>
    </row>
    <row r="13" spans="1:11">
      <c r="A13" s="379">
        <v>6</v>
      </c>
      <c r="B13" s="365">
        <f>ROUNDDOWN('料金表(税抜)'!B13*(1+$K$3),0)</f>
        <v>4320</v>
      </c>
      <c r="C13" s="360">
        <f>ROUNDDOWN('料金表(税抜)'!C13*(1+$K$3),0)</f>
        <v>4373</v>
      </c>
      <c r="D13" s="360">
        <f>ROUNDDOWN('料金表(税抜)'!D13*(1+$K$3),0)</f>
        <v>4427</v>
      </c>
      <c r="E13" s="360">
        <f>ROUNDDOWN('料金表(税抜)'!E13*(1+$K$3),0)</f>
        <v>4481</v>
      </c>
      <c r="F13" s="360">
        <f>ROUNDDOWN('料金表(税抜)'!F13*(1+$K$3),0)</f>
        <v>4535</v>
      </c>
      <c r="G13" s="360">
        <f>ROUNDDOWN('料金表(税抜)'!G13*(1+$K$3),0)</f>
        <v>4589</v>
      </c>
      <c r="H13" s="360">
        <f>ROUNDDOWN('料金表(税抜)'!H13*(1+$K$3),0)</f>
        <v>4642</v>
      </c>
      <c r="I13" s="360">
        <f>ROUNDDOWN('料金表(税抜)'!I13*(1+$K$3),0)</f>
        <v>4695</v>
      </c>
      <c r="J13" s="360">
        <f>ROUNDDOWN('料金表(税抜)'!J13*(1+$K$3),0)</f>
        <v>4749</v>
      </c>
      <c r="K13" s="366">
        <f>ROUNDDOWN('料金表(税抜)'!K13*(1+$K$3),0)</f>
        <v>4803</v>
      </c>
    </row>
    <row r="14" spans="1:11">
      <c r="A14" s="380">
        <v>7</v>
      </c>
      <c r="B14" s="365">
        <f>ROUNDDOWN('料金表(税抜)'!B14*(1+$K$3),0)</f>
        <v>4857</v>
      </c>
      <c r="C14" s="360">
        <f>ROUNDDOWN('料金表(税抜)'!C14*(1+$K$3),0)</f>
        <v>4910</v>
      </c>
      <c r="D14" s="360">
        <f>ROUNDDOWN('料金表(税抜)'!D14*(1+$K$3),0)</f>
        <v>4964</v>
      </c>
      <c r="E14" s="360">
        <f>ROUNDDOWN('料金表(税抜)'!E14*(1+$K$3),0)</f>
        <v>5018</v>
      </c>
      <c r="F14" s="360">
        <f>ROUNDDOWN('料金表(税抜)'!F14*(1+$K$3),0)</f>
        <v>5072</v>
      </c>
      <c r="G14" s="360">
        <f>ROUNDDOWN('料金表(税抜)'!G14*(1+$K$3),0)</f>
        <v>5126</v>
      </c>
      <c r="H14" s="360">
        <f>ROUNDDOWN('料金表(税抜)'!H14*(1+$K$3),0)</f>
        <v>5178</v>
      </c>
      <c r="I14" s="360">
        <f>ROUNDDOWN('料金表(税抜)'!I14*(1+$K$3),0)</f>
        <v>5232</v>
      </c>
      <c r="J14" s="360">
        <f>ROUNDDOWN('料金表(税抜)'!J14*(1+$K$3),0)</f>
        <v>5286</v>
      </c>
      <c r="K14" s="366">
        <f>ROUNDDOWN('料金表(税抜)'!K14*(1+$K$3),0)</f>
        <v>5340</v>
      </c>
    </row>
    <row r="15" spans="1:11">
      <c r="A15" s="380">
        <v>8</v>
      </c>
      <c r="B15" s="365">
        <f>ROUNDDOWN('料金表(税抜)'!B15*(1+$K$3),0)</f>
        <v>5394</v>
      </c>
      <c r="C15" s="360">
        <f>ROUNDDOWN('料金表(税抜)'!C15*(1+$K$3),0)</f>
        <v>5442</v>
      </c>
      <c r="D15" s="360">
        <f>ROUNDDOWN('料金表(税抜)'!D15*(1+$K$3),0)</f>
        <v>5492</v>
      </c>
      <c r="E15" s="360">
        <f>ROUNDDOWN('料金表(税抜)'!E15*(1+$K$3),0)</f>
        <v>5541</v>
      </c>
      <c r="F15" s="360">
        <f>ROUNDDOWN('料金表(税抜)'!F15*(1+$K$3),0)</f>
        <v>5591</v>
      </c>
      <c r="G15" s="360">
        <f>ROUNDDOWN('料金表(税抜)'!G15*(1+$K$3),0)</f>
        <v>5640</v>
      </c>
      <c r="H15" s="360">
        <f>ROUNDDOWN('料金表(税抜)'!H15*(1+$K$3),0)</f>
        <v>5689</v>
      </c>
      <c r="I15" s="360">
        <f>ROUNDDOWN('料金表(税抜)'!I15*(1+$K$3),0)</f>
        <v>5738</v>
      </c>
      <c r="J15" s="360">
        <f>ROUNDDOWN('料金表(税抜)'!J15*(1+$K$3),0)</f>
        <v>5788</v>
      </c>
      <c r="K15" s="366">
        <f>ROUNDDOWN('料金表(税抜)'!K15*(1+$K$3),0)</f>
        <v>5837</v>
      </c>
    </row>
    <row r="16" spans="1:11">
      <c r="A16" s="383">
        <v>9</v>
      </c>
      <c r="B16" s="374">
        <f>ROUNDDOWN('料金表(税抜)'!B16*(1+$K$3),0)</f>
        <v>5887</v>
      </c>
      <c r="C16" s="375">
        <f>ROUNDDOWN('料金表(税抜)'!C16*(1+$K$3),0)</f>
        <v>5935</v>
      </c>
      <c r="D16" s="375">
        <f>ROUNDDOWN('料金表(税抜)'!D16*(1+$K$3),0)</f>
        <v>5985</v>
      </c>
      <c r="E16" s="375">
        <f>ROUNDDOWN('料金表(税抜)'!E16*(1+$K$3),0)</f>
        <v>6034</v>
      </c>
      <c r="F16" s="375">
        <f>ROUNDDOWN('料金表(税抜)'!F16*(1+$K$3),0)</f>
        <v>6084</v>
      </c>
      <c r="G16" s="375">
        <f>ROUNDDOWN('料金表(税抜)'!G16*(1+$K$3),0)</f>
        <v>6133</v>
      </c>
      <c r="H16" s="375">
        <f>ROUNDDOWN('料金表(税抜)'!H16*(1+$K$3),0)</f>
        <v>6182</v>
      </c>
      <c r="I16" s="375">
        <f>ROUNDDOWN('料金表(税抜)'!I16*(1+$K$3),0)</f>
        <v>6231</v>
      </c>
      <c r="J16" s="375">
        <f>ROUNDDOWN('料金表(税抜)'!J16*(1+$K$3),0)</f>
        <v>6281</v>
      </c>
      <c r="K16" s="376">
        <f>ROUNDDOWN('料金表(税抜)'!K16*(1+$K$3),0)</f>
        <v>6330</v>
      </c>
    </row>
    <row r="17" spans="1:11">
      <c r="A17" s="382">
        <v>10</v>
      </c>
      <c r="B17" s="371">
        <f>ROUNDDOWN('料金表(税抜)'!B17*(1+$K$3),0)</f>
        <v>6380</v>
      </c>
      <c r="C17" s="372">
        <f>ROUNDDOWN('料金表(税抜)'!C17*(1+$K$3),0)</f>
        <v>6429</v>
      </c>
      <c r="D17" s="372">
        <f>ROUNDDOWN('料金表(税抜)'!D17*(1+$K$3),0)</f>
        <v>6477</v>
      </c>
      <c r="E17" s="372">
        <f>ROUNDDOWN('料金表(税抜)'!E17*(1+$K$3),0)</f>
        <v>6527</v>
      </c>
      <c r="F17" s="372">
        <f>ROUNDDOWN('料金表(税抜)'!F17*(1+$K$3),0)</f>
        <v>6576</v>
      </c>
      <c r="G17" s="372">
        <f>ROUNDDOWN('料金表(税抜)'!G17*(1+$K$3),0)</f>
        <v>6626</v>
      </c>
      <c r="H17" s="372">
        <f>ROUNDDOWN('料金表(税抜)'!H17*(1+$K$3),0)</f>
        <v>6675</v>
      </c>
      <c r="I17" s="372">
        <f>ROUNDDOWN('料金表(税抜)'!I17*(1+$K$3),0)</f>
        <v>6724</v>
      </c>
      <c r="J17" s="372">
        <f>ROUNDDOWN('料金表(税抜)'!J17*(1+$K$3),0)</f>
        <v>6773</v>
      </c>
      <c r="K17" s="373">
        <f>ROUNDDOWN('料金表(税抜)'!K17*(1+$K$3),0)</f>
        <v>6823</v>
      </c>
    </row>
    <row r="18" spans="1:11">
      <c r="A18" s="379">
        <v>11</v>
      </c>
      <c r="B18" s="365">
        <f>ROUNDDOWN('料金表(税抜)'!B18*(1+$K$3),0)</f>
        <v>6872</v>
      </c>
      <c r="C18" s="360">
        <f>ROUNDDOWN('料金表(税抜)'!C18*(1+$K$3),0)</f>
        <v>6922</v>
      </c>
      <c r="D18" s="360">
        <f>ROUNDDOWN('料金表(税抜)'!D18*(1+$K$3),0)</f>
        <v>6970</v>
      </c>
      <c r="E18" s="360">
        <f>ROUNDDOWN('料金表(税抜)'!E18*(1+$K$3),0)</f>
        <v>7020</v>
      </c>
      <c r="F18" s="360">
        <f>ROUNDDOWN('料金表(税抜)'!F18*(1+$K$3),0)</f>
        <v>7069</v>
      </c>
      <c r="G18" s="360">
        <f>ROUNDDOWN('料金表(税抜)'!G18*(1+$K$3),0)</f>
        <v>7119</v>
      </c>
      <c r="H18" s="360">
        <f>ROUNDDOWN('料金表(税抜)'!H18*(1+$K$3),0)</f>
        <v>7168</v>
      </c>
      <c r="I18" s="360">
        <f>ROUNDDOWN('料金表(税抜)'!I18*(1+$K$3),0)</f>
        <v>7217</v>
      </c>
      <c r="J18" s="360">
        <f>ROUNDDOWN('料金表(税抜)'!J18*(1+$K$3),0)</f>
        <v>7266</v>
      </c>
      <c r="K18" s="366">
        <f>ROUNDDOWN('料金表(税抜)'!K18*(1+$K$3),0)</f>
        <v>7316</v>
      </c>
    </row>
    <row r="19" spans="1:11">
      <c r="A19" s="380">
        <v>12</v>
      </c>
      <c r="B19" s="365">
        <f>ROUNDDOWN('料金表(税抜)'!B19*(1+$K$3),0)</f>
        <v>7365</v>
      </c>
      <c r="C19" s="360">
        <f>ROUNDDOWN('料金表(税抜)'!C19*(1+$K$3),0)</f>
        <v>7415</v>
      </c>
      <c r="D19" s="360">
        <f>ROUNDDOWN('料金表(税抜)'!D19*(1+$K$3),0)</f>
        <v>7464</v>
      </c>
      <c r="E19" s="360">
        <f>ROUNDDOWN('料金表(税抜)'!E19*(1+$K$3),0)</f>
        <v>7513</v>
      </c>
      <c r="F19" s="360">
        <f>ROUNDDOWN('料金表(税抜)'!F19*(1+$K$3),0)</f>
        <v>7562</v>
      </c>
      <c r="G19" s="360">
        <f>ROUNDDOWN('料金表(税抜)'!G19*(1+$K$3),0)</f>
        <v>7612</v>
      </c>
      <c r="H19" s="360">
        <f>ROUNDDOWN('料金表(税抜)'!H19*(1+$K$3),0)</f>
        <v>7661</v>
      </c>
      <c r="I19" s="360">
        <f>ROUNDDOWN('料金表(税抜)'!I19*(1+$K$3),0)</f>
        <v>7711</v>
      </c>
      <c r="J19" s="360">
        <f>ROUNDDOWN('料金表(税抜)'!J19*(1+$K$3),0)</f>
        <v>7759</v>
      </c>
      <c r="K19" s="366">
        <f>ROUNDDOWN('料金表(税抜)'!K19*(1+$K$3),0)</f>
        <v>7808</v>
      </c>
    </row>
    <row r="20" spans="1:11">
      <c r="A20" s="380">
        <v>13</v>
      </c>
      <c r="B20" s="365">
        <f>ROUNDDOWN('料金表(税抜)'!B20*(1+$K$3),0)</f>
        <v>7858</v>
      </c>
      <c r="C20" s="360">
        <f>ROUNDDOWN('料金表(税抜)'!C20*(1+$K$3),0)</f>
        <v>7907</v>
      </c>
      <c r="D20" s="360">
        <f>ROUNDDOWN('料金表(税抜)'!D20*(1+$K$3),0)</f>
        <v>7957</v>
      </c>
      <c r="E20" s="360">
        <f>ROUNDDOWN('料金表(税抜)'!E20*(1+$K$3),0)</f>
        <v>8005</v>
      </c>
      <c r="F20" s="360">
        <f>ROUNDDOWN('料金表(税抜)'!F20*(1+$K$3),0)</f>
        <v>8055</v>
      </c>
      <c r="G20" s="360">
        <f>ROUNDDOWN('料金表(税抜)'!G20*(1+$K$3),0)</f>
        <v>8104</v>
      </c>
      <c r="H20" s="360">
        <f>ROUNDDOWN('料金表(税抜)'!H20*(1+$K$3),0)</f>
        <v>8154</v>
      </c>
      <c r="I20" s="360">
        <f>ROUNDDOWN('料金表(税抜)'!I20*(1+$K$3),0)</f>
        <v>8203</v>
      </c>
      <c r="J20" s="360">
        <f>ROUNDDOWN('料金表(税抜)'!J20*(1+$K$3),0)</f>
        <v>8252</v>
      </c>
      <c r="K20" s="366">
        <f>ROUNDDOWN('料金表(税抜)'!K20*(1+$K$3),0)</f>
        <v>8301</v>
      </c>
    </row>
    <row r="21" spans="1:11">
      <c r="A21" s="380">
        <v>14</v>
      </c>
      <c r="B21" s="365">
        <f>ROUNDDOWN('料金表(税抜)'!B21*(1+$K$3),0)</f>
        <v>8351</v>
      </c>
      <c r="C21" s="360">
        <f>ROUNDDOWN('料金表(税抜)'!C21*(1+$K$3),0)</f>
        <v>8400</v>
      </c>
      <c r="D21" s="360">
        <f>ROUNDDOWN('料金表(税抜)'!D21*(1+$K$3),0)</f>
        <v>8450</v>
      </c>
      <c r="E21" s="360">
        <f>ROUNDDOWN('料金表(税抜)'!E21*(1+$K$3),0)</f>
        <v>8499</v>
      </c>
      <c r="F21" s="360">
        <f>ROUNDDOWN('料金表(税抜)'!F21*(1+$K$3),0)</f>
        <v>8548</v>
      </c>
      <c r="G21" s="360">
        <f>ROUNDDOWN('料金表(税抜)'!G21*(1+$K$3),0)</f>
        <v>8597</v>
      </c>
      <c r="H21" s="360">
        <f>ROUNDDOWN('料金表(税抜)'!H21*(1+$K$3),0)</f>
        <v>8647</v>
      </c>
      <c r="I21" s="360">
        <f>ROUNDDOWN('料金表(税抜)'!I21*(1+$K$3),0)</f>
        <v>8696</v>
      </c>
      <c r="J21" s="360">
        <f>ROUNDDOWN('料金表(税抜)'!J21*(1+$K$3),0)</f>
        <v>8746</v>
      </c>
      <c r="K21" s="366">
        <f>ROUNDDOWN('料金表(税抜)'!K21*(1+$K$3),0)</f>
        <v>8794</v>
      </c>
    </row>
    <row r="22" spans="1:11">
      <c r="A22" s="382">
        <v>15</v>
      </c>
      <c r="B22" s="371">
        <f>ROUNDDOWN('料金表(税抜)'!B22*(1+$K$3),0)</f>
        <v>8844</v>
      </c>
      <c r="C22" s="372">
        <f>ROUNDDOWN('料金表(税抜)'!C22*(1+$K$3),0)</f>
        <v>8893</v>
      </c>
      <c r="D22" s="372">
        <f>ROUNDDOWN('料金表(税抜)'!D22*(1+$K$3),0)</f>
        <v>8943</v>
      </c>
      <c r="E22" s="372">
        <f>ROUNDDOWN('料金表(税抜)'!E22*(1+$K$3),0)</f>
        <v>8992</v>
      </c>
      <c r="F22" s="372">
        <f>ROUNDDOWN('料金表(税抜)'!F22*(1+$K$3),0)</f>
        <v>9040</v>
      </c>
      <c r="G22" s="372">
        <f>ROUNDDOWN('料金表(税抜)'!G22*(1+$K$3),0)</f>
        <v>9090</v>
      </c>
      <c r="H22" s="372">
        <f>ROUNDDOWN('料金表(税抜)'!H22*(1+$K$3),0)</f>
        <v>9139</v>
      </c>
      <c r="I22" s="372">
        <f>ROUNDDOWN('料金表(税抜)'!I22*(1+$K$3),0)</f>
        <v>9189</v>
      </c>
      <c r="J22" s="372">
        <f>ROUNDDOWN('料金表(税抜)'!J22*(1+$K$3),0)</f>
        <v>9238</v>
      </c>
      <c r="K22" s="373">
        <f>ROUNDDOWN('料金表(税抜)'!K22*(1+$K$3),0)</f>
        <v>9287</v>
      </c>
    </row>
    <row r="23" spans="1:11">
      <c r="A23" s="379">
        <v>16</v>
      </c>
      <c r="B23" s="365">
        <f>ROUNDDOWN('料金表(税抜)'!B23*(1+$K$3),0)</f>
        <v>9336</v>
      </c>
      <c r="C23" s="360">
        <f>ROUNDDOWN('料金表(税抜)'!C23*(1+$K$3),0)</f>
        <v>9386</v>
      </c>
      <c r="D23" s="360">
        <f>ROUNDDOWN('料金表(税抜)'!D23*(1+$K$3),0)</f>
        <v>9435</v>
      </c>
      <c r="E23" s="360">
        <f>ROUNDDOWN('料金表(税抜)'!E23*(1+$K$3),0)</f>
        <v>9485</v>
      </c>
      <c r="F23" s="360">
        <f>ROUNDDOWN('料金表(税抜)'!F23*(1+$K$3),0)</f>
        <v>9534</v>
      </c>
      <c r="G23" s="360">
        <f>ROUNDDOWN('料金表(税抜)'!G23*(1+$K$3),0)</f>
        <v>9583</v>
      </c>
      <c r="H23" s="360">
        <f>ROUNDDOWN('料金表(税抜)'!H23*(1+$K$3),0)</f>
        <v>9632</v>
      </c>
      <c r="I23" s="360">
        <f>ROUNDDOWN('料金表(税抜)'!I23*(1+$K$3),0)</f>
        <v>9682</v>
      </c>
      <c r="J23" s="360">
        <f>ROUNDDOWN('料金表(税抜)'!J23*(1+$K$3),0)</f>
        <v>9731</v>
      </c>
      <c r="K23" s="366">
        <f>ROUNDDOWN('料金表(税抜)'!K23*(1+$K$3),0)</f>
        <v>9781</v>
      </c>
    </row>
    <row r="24" spans="1:11">
      <c r="A24" s="380">
        <v>17</v>
      </c>
      <c r="B24" s="365">
        <f>ROUNDDOWN('料金表(税抜)'!B24*(1+$K$3),0)</f>
        <v>9829</v>
      </c>
      <c r="C24" s="360">
        <f>ROUNDDOWN('料金表(税抜)'!C24*(1+$K$3),0)</f>
        <v>9879</v>
      </c>
      <c r="D24" s="360">
        <f>ROUNDDOWN('料金表(税抜)'!D24*(1+$K$3),0)</f>
        <v>9928</v>
      </c>
      <c r="E24" s="360">
        <f>ROUNDDOWN('料金表(税抜)'!E24*(1+$K$3),0)</f>
        <v>9978</v>
      </c>
      <c r="F24" s="360">
        <f>ROUNDDOWN('料金表(税抜)'!F24*(1+$K$3),0)</f>
        <v>10027</v>
      </c>
      <c r="G24" s="360">
        <f>ROUNDDOWN('料金表(税抜)'!G24*(1+$K$3),0)</f>
        <v>10076</v>
      </c>
      <c r="H24" s="360">
        <f>ROUNDDOWN('料金表(税抜)'!H24*(1+$K$3),0)</f>
        <v>10125</v>
      </c>
      <c r="I24" s="360">
        <f>ROUNDDOWN('料金表(税抜)'!I24*(1+$K$3),0)</f>
        <v>10175</v>
      </c>
      <c r="J24" s="360">
        <f>ROUNDDOWN('料金表(税抜)'!J24*(1+$K$3),0)</f>
        <v>10224</v>
      </c>
      <c r="K24" s="366">
        <f>ROUNDDOWN('料金表(税抜)'!K24*(1+$K$3),0)</f>
        <v>10274</v>
      </c>
    </row>
    <row r="25" spans="1:11">
      <c r="A25" s="380">
        <v>18</v>
      </c>
      <c r="B25" s="365">
        <f>ROUNDDOWN('料金表(税抜)'!B25*(1+$K$3),0)</f>
        <v>10323</v>
      </c>
      <c r="C25" s="360">
        <f>ROUNDDOWN('料金表(税抜)'!C25*(1+$K$3),0)</f>
        <v>10371</v>
      </c>
      <c r="D25" s="360">
        <f>ROUNDDOWN('料金表(税抜)'!D25*(1+$K$3),0)</f>
        <v>10421</v>
      </c>
      <c r="E25" s="360">
        <f>ROUNDDOWN('料金表(税抜)'!E25*(1+$K$3),0)</f>
        <v>10470</v>
      </c>
      <c r="F25" s="360">
        <f>ROUNDDOWN('料金表(税抜)'!F25*(1+$K$3),0)</f>
        <v>10520</v>
      </c>
      <c r="G25" s="360">
        <f>ROUNDDOWN('料金表(税抜)'!G25*(1+$K$3),0)</f>
        <v>10569</v>
      </c>
      <c r="H25" s="360">
        <f>ROUNDDOWN('料金表(税抜)'!H25*(1+$K$3),0)</f>
        <v>10618</v>
      </c>
      <c r="I25" s="360">
        <f>ROUNDDOWN('料金表(税抜)'!I25*(1+$K$3),0)</f>
        <v>10667</v>
      </c>
      <c r="J25" s="360">
        <f>ROUNDDOWN('料金表(税抜)'!J25*(1+$K$3),0)</f>
        <v>10717</v>
      </c>
      <c r="K25" s="366">
        <f>ROUNDDOWN('料金表(税抜)'!K25*(1+$K$3),0)</f>
        <v>10766</v>
      </c>
    </row>
    <row r="26" spans="1:11">
      <c r="A26" s="380">
        <v>19</v>
      </c>
      <c r="B26" s="365">
        <f>ROUNDDOWN('料金表(税抜)'!B26*(1+$K$3),0)</f>
        <v>10816</v>
      </c>
      <c r="C26" s="360">
        <f>ROUNDDOWN('料金表(税抜)'!C26*(1+$K$3),0)</f>
        <v>10864</v>
      </c>
      <c r="D26" s="360">
        <f>ROUNDDOWN('料金表(税抜)'!D26*(1+$K$3),0)</f>
        <v>10914</v>
      </c>
      <c r="E26" s="360">
        <f>ROUNDDOWN('料金表(税抜)'!E26*(1+$K$3),0)</f>
        <v>10963</v>
      </c>
      <c r="F26" s="360">
        <f>ROUNDDOWN('料金表(税抜)'!F26*(1+$K$3),0)</f>
        <v>11013</v>
      </c>
      <c r="G26" s="360">
        <f>ROUNDDOWN('料金表(税抜)'!G26*(1+$K$3),0)</f>
        <v>11062</v>
      </c>
      <c r="H26" s="360">
        <f>ROUNDDOWN('料金表(税抜)'!H26*(1+$K$3),0)</f>
        <v>11111</v>
      </c>
      <c r="I26" s="360">
        <f>ROUNDDOWN('料金表(税抜)'!I26*(1+$K$3),0)</f>
        <v>11160</v>
      </c>
      <c r="J26" s="360">
        <f>ROUNDDOWN('料金表(税抜)'!J26*(1+$K$3),0)</f>
        <v>11210</v>
      </c>
      <c r="K26" s="366">
        <f>ROUNDDOWN('料金表(税抜)'!K26*(1+$K$3),0)</f>
        <v>11259</v>
      </c>
    </row>
    <row r="27" spans="1:11">
      <c r="A27" s="382">
        <v>20</v>
      </c>
      <c r="B27" s="371">
        <f>ROUNDDOWN('料金表(税抜)'!B27*(1+$K$3),0)</f>
        <v>11309</v>
      </c>
      <c r="C27" s="372">
        <f>ROUNDDOWN('料金表(税抜)'!C27*(1+$K$3),0)</f>
        <v>11358</v>
      </c>
      <c r="D27" s="372">
        <f>ROUNDDOWN('料金表(税抜)'!D27*(1+$K$3),0)</f>
        <v>11407</v>
      </c>
      <c r="E27" s="372">
        <f>ROUNDDOWN('料金表(税抜)'!E27*(1+$K$3),0)</f>
        <v>11456</v>
      </c>
      <c r="F27" s="372">
        <f>ROUNDDOWN('料金表(税抜)'!F27*(1+$K$3),0)</f>
        <v>11506</v>
      </c>
      <c r="G27" s="372">
        <f>ROUNDDOWN('料金表(税抜)'!G27*(1+$K$3),0)</f>
        <v>11555</v>
      </c>
      <c r="H27" s="372">
        <f>ROUNDDOWN('料金表(税抜)'!H27*(1+$K$3),0)</f>
        <v>11605</v>
      </c>
      <c r="I27" s="372">
        <f>ROUNDDOWN('料金表(税抜)'!I27*(1+$K$3),0)</f>
        <v>11653</v>
      </c>
      <c r="J27" s="372">
        <f>ROUNDDOWN('料金表(税抜)'!J27*(1+$K$3),0)</f>
        <v>11702</v>
      </c>
      <c r="K27" s="373">
        <f>ROUNDDOWN('料金表(税抜)'!K27*(1+$K$3),0)</f>
        <v>11752</v>
      </c>
    </row>
    <row r="28" spans="1:11">
      <c r="A28" s="379">
        <v>21</v>
      </c>
      <c r="B28" s="365">
        <f>ROUNDDOWN('料金表(税抜)'!B28*(1+$K$3),0)</f>
        <v>11801</v>
      </c>
      <c r="C28" s="360">
        <f>ROUNDDOWN('料金表(税抜)'!C28*(1+$K$3),0)</f>
        <v>11851</v>
      </c>
      <c r="D28" s="360">
        <f>ROUNDDOWN('料金表(税抜)'!D28*(1+$K$3),0)</f>
        <v>11899</v>
      </c>
      <c r="E28" s="360">
        <f>ROUNDDOWN('料金表(税抜)'!E28*(1+$K$3),0)</f>
        <v>11949</v>
      </c>
      <c r="F28" s="360">
        <f>ROUNDDOWN('料金表(税抜)'!F28*(1+$K$3),0)</f>
        <v>11998</v>
      </c>
      <c r="G28" s="360">
        <f>ROUNDDOWN('料金表(税抜)'!G28*(1+$K$3),0)</f>
        <v>12048</v>
      </c>
      <c r="H28" s="360">
        <f>ROUNDDOWN('料金表(税抜)'!H28*(1+$K$3),0)</f>
        <v>12097</v>
      </c>
      <c r="I28" s="360">
        <f>ROUNDDOWN('料金表(税抜)'!I28*(1+$K$3),0)</f>
        <v>12146</v>
      </c>
      <c r="J28" s="360">
        <f>ROUNDDOWN('料金表(税抜)'!J28*(1+$K$3),0)</f>
        <v>12195</v>
      </c>
      <c r="K28" s="366">
        <f>ROUNDDOWN('料金表(税抜)'!K28*(1+$K$3),0)</f>
        <v>12245</v>
      </c>
    </row>
    <row r="29" spans="1:11">
      <c r="A29" s="380">
        <v>22</v>
      </c>
      <c r="B29" s="365">
        <f>ROUNDDOWN('料金表(税抜)'!B29*(1+$K$3),0)</f>
        <v>12294</v>
      </c>
      <c r="C29" s="360">
        <f>ROUNDDOWN('料金表(税抜)'!C29*(1+$K$3),0)</f>
        <v>12344</v>
      </c>
      <c r="D29" s="360">
        <f>ROUNDDOWN('料金表(税抜)'!D29*(1+$K$3),0)</f>
        <v>12393</v>
      </c>
      <c r="E29" s="360">
        <f>ROUNDDOWN('料金表(税抜)'!E29*(1+$K$3),0)</f>
        <v>12442</v>
      </c>
      <c r="F29" s="360">
        <f>ROUNDDOWN('料金表(税抜)'!F29*(1+$K$3),0)</f>
        <v>12491</v>
      </c>
      <c r="G29" s="360">
        <f>ROUNDDOWN('料金表(税抜)'!G29*(1+$K$3),0)</f>
        <v>12541</v>
      </c>
      <c r="H29" s="360">
        <f>ROUNDDOWN('料金表(税抜)'!H29*(1+$K$3),0)</f>
        <v>12590</v>
      </c>
      <c r="I29" s="360">
        <f>ROUNDDOWN('料金表(税抜)'!I29*(1+$K$3),0)</f>
        <v>12640</v>
      </c>
      <c r="J29" s="360">
        <f>ROUNDDOWN('料金表(税抜)'!J29*(1+$K$3),0)</f>
        <v>12688</v>
      </c>
      <c r="K29" s="366">
        <f>ROUNDDOWN('料金表(税抜)'!K29*(1+$K$3),0)</f>
        <v>12738</v>
      </c>
    </row>
    <row r="30" spans="1:11">
      <c r="A30" s="380">
        <v>23</v>
      </c>
      <c r="B30" s="365">
        <f>ROUNDDOWN('料金表(税抜)'!B30*(1+$K$3),0)</f>
        <v>12787</v>
      </c>
      <c r="C30" s="360">
        <f>ROUNDDOWN('料金表(税抜)'!C30*(1+$K$3),0)</f>
        <v>12837</v>
      </c>
      <c r="D30" s="360">
        <f>ROUNDDOWN('料金表(税抜)'!D30*(1+$K$3),0)</f>
        <v>12886</v>
      </c>
      <c r="E30" s="360">
        <f>ROUNDDOWN('料金表(税抜)'!E30*(1+$K$3),0)</f>
        <v>12934</v>
      </c>
      <c r="F30" s="360">
        <f>ROUNDDOWN('料金表(税抜)'!F30*(1+$K$3),0)</f>
        <v>12984</v>
      </c>
      <c r="G30" s="360">
        <f>ROUNDDOWN('料金表(税抜)'!G30*(1+$K$3),0)</f>
        <v>13033</v>
      </c>
      <c r="H30" s="360">
        <f>ROUNDDOWN('料金表(税抜)'!H30*(1+$K$3),0)</f>
        <v>13083</v>
      </c>
      <c r="I30" s="360">
        <f>ROUNDDOWN('料金表(税抜)'!I30*(1+$K$3),0)</f>
        <v>13132</v>
      </c>
      <c r="J30" s="360">
        <f>ROUNDDOWN('料金表(税抜)'!J30*(1+$K$3),0)</f>
        <v>13181</v>
      </c>
      <c r="K30" s="366">
        <f>ROUNDDOWN('料金表(税抜)'!K30*(1+$K$3),0)</f>
        <v>13230</v>
      </c>
    </row>
    <row r="31" spans="1:11">
      <c r="A31" s="380">
        <v>24</v>
      </c>
      <c r="B31" s="365">
        <f>ROUNDDOWN('料金表(税抜)'!B31*(1+$K$3),0)</f>
        <v>13280</v>
      </c>
      <c r="C31" s="360">
        <f>ROUNDDOWN('料金表(税抜)'!C31*(1+$K$3),0)</f>
        <v>13329</v>
      </c>
      <c r="D31" s="360">
        <f>ROUNDDOWN('料金表(税抜)'!D31*(1+$K$3),0)</f>
        <v>13379</v>
      </c>
      <c r="E31" s="360">
        <f>ROUNDDOWN('料金表(税抜)'!E31*(1+$K$3),0)</f>
        <v>13428</v>
      </c>
      <c r="F31" s="360">
        <f>ROUNDDOWN('料金表(税抜)'!F31*(1+$K$3),0)</f>
        <v>13477</v>
      </c>
      <c r="G31" s="360">
        <f>ROUNDDOWN('料金表(税抜)'!G31*(1+$K$3),0)</f>
        <v>13526</v>
      </c>
      <c r="H31" s="360">
        <f>ROUNDDOWN('料金表(税抜)'!H31*(1+$K$3),0)</f>
        <v>13576</v>
      </c>
      <c r="I31" s="360">
        <f>ROUNDDOWN('料金表(税抜)'!I31*(1+$K$3),0)</f>
        <v>13625</v>
      </c>
      <c r="J31" s="360">
        <f>ROUNDDOWN('料金表(税抜)'!J31*(1+$K$3),0)</f>
        <v>13675</v>
      </c>
      <c r="K31" s="366">
        <f>ROUNDDOWN('料金表(税抜)'!K31*(1+$K$3),0)</f>
        <v>13723</v>
      </c>
    </row>
    <row r="32" spans="1:11">
      <c r="A32" s="382">
        <v>25</v>
      </c>
      <c r="B32" s="371">
        <f>ROUNDDOWN('料金表(税抜)'!B32*(1+$K$3),0)</f>
        <v>13773</v>
      </c>
      <c r="C32" s="372">
        <f>ROUNDDOWN('料金表(税抜)'!C32*(1+$K$3),0)</f>
        <v>13822</v>
      </c>
      <c r="D32" s="372">
        <f>ROUNDDOWN('料金表(税抜)'!D32*(1+$K$3),0)</f>
        <v>13872</v>
      </c>
      <c r="E32" s="372">
        <f>ROUNDDOWN('料金表(税抜)'!E32*(1+$K$3),0)</f>
        <v>13921</v>
      </c>
      <c r="F32" s="372">
        <f>ROUNDDOWN('料金表(税抜)'!F32*(1+$K$3),0)</f>
        <v>13970</v>
      </c>
      <c r="G32" s="372">
        <f>ROUNDDOWN('料金表(税抜)'!G32*(1+$K$3),0)</f>
        <v>14019</v>
      </c>
      <c r="H32" s="372">
        <f>ROUNDDOWN('料金表(税抜)'!H32*(1+$K$3),0)</f>
        <v>14069</v>
      </c>
      <c r="I32" s="372">
        <f>ROUNDDOWN('料金表(税抜)'!I32*(1+$K$3),0)</f>
        <v>14118</v>
      </c>
      <c r="J32" s="372">
        <f>ROUNDDOWN('料金表(税抜)'!J32*(1+$K$3),0)</f>
        <v>14168</v>
      </c>
      <c r="K32" s="373">
        <f>ROUNDDOWN('料金表(税抜)'!K32*(1+$K$3),0)</f>
        <v>14216</v>
      </c>
    </row>
    <row r="33" spans="1:11">
      <c r="A33" s="379">
        <v>26</v>
      </c>
      <c r="B33" s="365">
        <f>ROUNDDOWN('料金表(税抜)'!B33*(1+$K$3),0)</f>
        <v>14265</v>
      </c>
      <c r="C33" s="360">
        <f>ROUNDDOWN('料金表(税抜)'!C33*(1+$K$3),0)</f>
        <v>14315</v>
      </c>
      <c r="D33" s="360">
        <f>ROUNDDOWN('料金表(税抜)'!D33*(1+$K$3),0)</f>
        <v>14364</v>
      </c>
      <c r="E33" s="360">
        <f>ROUNDDOWN('料金表(税抜)'!E33*(1+$K$3),0)</f>
        <v>14414</v>
      </c>
      <c r="F33" s="360">
        <f>ROUNDDOWN('料金表(税抜)'!F33*(1+$K$3),0)</f>
        <v>14463</v>
      </c>
      <c r="G33" s="360">
        <f>ROUNDDOWN('料金表(税抜)'!G33*(1+$K$3),0)</f>
        <v>14512</v>
      </c>
      <c r="H33" s="360">
        <f>ROUNDDOWN('料金表(税抜)'!H33*(1+$K$3),0)</f>
        <v>14561</v>
      </c>
      <c r="I33" s="360">
        <f>ROUNDDOWN('料金表(税抜)'!I33*(1+$K$3),0)</f>
        <v>14611</v>
      </c>
      <c r="J33" s="360">
        <f>ROUNDDOWN('料金表(税抜)'!J33*(1+$K$3),0)</f>
        <v>14660</v>
      </c>
      <c r="K33" s="366">
        <f>ROUNDDOWN('料金表(税抜)'!K33*(1+$K$3),0)</f>
        <v>14710</v>
      </c>
    </row>
    <row r="34" spans="1:11">
      <c r="A34" s="380">
        <v>27</v>
      </c>
      <c r="B34" s="365">
        <f>ROUNDDOWN('料金表(税抜)'!B34*(1+$K$3),0)</f>
        <v>14758</v>
      </c>
      <c r="C34" s="360">
        <f>ROUNDDOWN('料金表(税抜)'!C34*(1+$K$3),0)</f>
        <v>14808</v>
      </c>
      <c r="D34" s="360">
        <f>ROUNDDOWN('料金表(税抜)'!D34*(1+$K$3),0)</f>
        <v>14857</v>
      </c>
      <c r="E34" s="360">
        <f>ROUNDDOWN('料金表(税抜)'!E34*(1+$K$3),0)</f>
        <v>14907</v>
      </c>
      <c r="F34" s="360">
        <f>ROUNDDOWN('料金表(税抜)'!F34*(1+$K$3),0)</f>
        <v>14956</v>
      </c>
      <c r="G34" s="360">
        <f>ROUNDDOWN('料金表(税抜)'!G34*(1+$K$3),0)</f>
        <v>15005</v>
      </c>
      <c r="H34" s="360">
        <f>ROUNDDOWN('料金表(税抜)'!H34*(1+$K$3),0)</f>
        <v>15054</v>
      </c>
      <c r="I34" s="360">
        <f>ROUNDDOWN('料金表(税抜)'!I34*(1+$K$3),0)</f>
        <v>15104</v>
      </c>
      <c r="J34" s="360">
        <f>ROUNDDOWN('料金表(税抜)'!J34*(1+$K$3),0)</f>
        <v>15153</v>
      </c>
      <c r="K34" s="366">
        <f>ROUNDDOWN('料金表(税抜)'!K34*(1+$K$3),0)</f>
        <v>15203</v>
      </c>
    </row>
    <row r="35" spans="1:11">
      <c r="A35" s="380">
        <v>28</v>
      </c>
      <c r="B35" s="365">
        <f>ROUNDDOWN('料金表(税抜)'!B35*(1+$K$3),0)</f>
        <v>15252</v>
      </c>
      <c r="C35" s="360">
        <f>ROUNDDOWN('料金表(税抜)'!C35*(1+$K$3),0)</f>
        <v>15301</v>
      </c>
      <c r="D35" s="360">
        <f>ROUNDDOWN('料金表(税抜)'!D35*(1+$K$3),0)</f>
        <v>15350</v>
      </c>
      <c r="E35" s="360">
        <f>ROUNDDOWN('料金表(税抜)'!E35*(1+$K$3),0)</f>
        <v>15400</v>
      </c>
      <c r="F35" s="360">
        <f>ROUNDDOWN('料金表(税抜)'!F35*(1+$K$3),0)</f>
        <v>15449</v>
      </c>
      <c r="G35" s="360">
        <f>ROUNDDOWN('料金表(税抜)'!G35*(1+$K$3),0)</f>
        <v>15499</v>
      </c>
      <c r="H35" s="360">
        <f>ROUNDDOWN('料金表(税抜)'!H35*(1+$K$3),0)</f>
        <v>15547</v>
      </c>
      <c r="I35" s="360">
        <f>ROUNDDOWN('料金表(税抜)'!I35*(1+$K$3),0)</f>
        <v>15596</v>
      </c>
      <c r="J35" s="360">
        <f>ROUNDDOWN('料金表(税抜)'!J35*(1+$K$3),0)</f>
        <v>15646</v>
      </c>
      <c r="K35" s="366">
        <f>ROUNDDOWN('料金表(税抜)'!K35*(1+$K$3),0)</f>
        <v>15695</v>
      </c>
    </row>
    <row r="36" spans="1:11">
      <c r="A36" s="380">
        <v>29</v>
      </c>
      <c r="B36" s="365">
        <f>ROUNDDOWN('料金表(税抜)'!B36*(1+$K$3),0)</f>
        <v>15745</v>
      </c>
      <c r="C36" s="360">
        <f>ROUNDDOWN('料金表(税抜)'!C36*(1+$K$3),0)</f>
        <v>15793</v>
      </c>
      <c r="D36" s="360">
        <f>ROUNDDOWN('料金表(税抜)'!D36*(1+$K$3),0)</f>
        <v>15843</v>
      </c>
      <c r="E36" s="360">
        <f>ROUNDDOWN('料金表(税抜)'!E36*(1+$K$3),0)</f>
        <v>15892</v>
      </c>
      <c r="F36" s="360">
        <f>ROUNDDOWN('料金表(税抜)'!F36*(1+$K$3),0)</f>
        <v>15942</v>
      </c>
      <c r="G36" s="360">
        <f>ROUNDDOWN('料金表(税抜)'!G36*(1+$K$3),0)</f>
        <v>15991</v>
      </c>
      <c r="H36" s="360">
        <f>ROUNDDOWN('料金表(税抜)'!H36*(1+$K$3),0)</f>
        <v>16040</v>
      </c>
      <c r="I36" s="360">
        <f>ROUNDDOWN('料金表(税抜)'!I36*(1+$K$3),0)</f>
        <v>16089</v>
      </c>
      <c r="J36" s="360">
        <f>ROUNDDOWN('料金表(税抜)'!J36*(1+$K$3),0)</f>
        <v>16139</v>
      </c>
      <c r="K36" s="366">
        <f>ROUNDDOWN('料金表(税抜)'!K36*(1+$K$3),0)</f>
        <v>16188</v>
      </c>
    </row>
    <row r="37" spans="1:11">
      <c r="A37" s="382">
        <v>30</v>
      </c>
      <c r="B37" s="371">
        <f>ROUNDDOWN('料金表(税抜)'!B37*(1+$K$3),0)</f>
        <v>16238</v>
      </c>
      <c r="C37" s="372">
        <f>ROUNDDOWN('料金表(税抜)'!C37*(1+$K$3),0)</f>
        <v>16283</v>
      </c>
      <c r="D37" s="372">
        <f>ROUNDDOWN('料金表(税抜)'!D37*(1+$K$3),0)</f>
        <v>16327</v>
      </c>
      <c r="E37" s="372">
        <f>ROUNDDOWN('料金表(税抜)'!E37*(1+$K$3),0)</f>
        <v>16372</v>
      </c>
      <c r="F37" s="372">
        <f>ROUNDDOWN('料金表(税抜)'!F37*(1+$K$3),0)</f>
        <v>16417</v>
      </c>
      <c r="G37" s="372">
        <f>ROUNDDOWN('料金表(税抜)'!G37*(1+$K$3),0)</f>
        <v>16462</v>
      </c>
      <c r="H37" s="372">
        <f>ROUNDDOWN('料金表(税抜)'!H37*(1+$K$3),0)</f>
        <v>16507</v>
      </c>
      <c r="I37" s="372">
        <f>ROUNDDOWN('料金表(税抜)'!I37*(1+$K$3),0)</f>
        <v>16551</v>
      </c>
      <c r="J37" s="372">
        <f>ROUNDDOWN('料金表(税抜)'!J37*(1+$K$3),0)</f>
        <v>16596</v>
      </c>
      <c r="K37" s="373">
        <f>ROUNDDOWN('料金表(税抜)'!K37*(1+$K$3),0)</f>
        <v>16641</v>
      </c>
    </row>
    <row r="38" spans="1:11">
      <c r="A38" s="379">
        <v>31</v>
      </c>
      <c r="B38" s="365">
        <f>ROUNDDOWN('料金表(税抜)'!B38*(1+$K$3),0)</f>
        <v>16687</v>
      </c>
      <c r="C38" s="360">
        <f>ROUNDDOWN('料金表(税抜)'!C38*(1+$K$3),0)</f>
        <v>16732</v>
      </c>
      <c r="D38" s="360">
        <f>ROUNDDOWN('料金表(税抜)'!D38*(1+$K$3),0)</f>
        <v>16777</v>
      </c>
      <c r="E38" s="360">
        <f>ROUNDDOWN('料金表(税抜)'!E38*(1+$K$3),0)</f>
        <v>16821</v>
      </c>
      <c r="F38" s="360">
        <f>ROUNDDOWN('料金表(税抜)'!F38*(1+$K$3),0)</f>
        <v>16866</v>
      </c>
      <c r="G38" s="360">
        <f>ROUNDDOWN('料金表(税抜)'!G38*(1+$K$3),0)</f>
        <v>16911</v>
      </c>
      <c r="H38" s="360">
        <f>ROUNDDOWN('料金表(税抜)'!H38*(1+$K$3),0)</f>
        <v>16956</v>
      </c>
      <c r="I38" s="360">
        <f>ROUNDDOWN('料金表(税抜)'!I38*(1+$K$3),0)</f>
        <v>17001</v>
      </c>
      <c r="J38" s="360">
        <f>ROUNDDOWN('料金表(税抜)'!J38*(1+$K$3),0)</f>
        <v>17045</v>
      </c>
      <c r="K38" s="366">
        <f>ROUNDDOWN('料金表(税抜)'!K38*(1+$K$3),0)</f>
        <v>17090</v>
      </c>
    </row>
    <row r="39" spans="1:11">
      <c r="A39" s="380">
        <v>32</v>
      </c>
      <c r="B39" s="365">
        <f>ROUNDDOWN('料金表(税抜)'!B39*(1+$K$3),0)</f>
        <v>17135</v>
      </c>
      <c r="C39" s="360">
        <f>ROUNDDOWN('料金表(税抜)'!C39*(1+$K$3),0)</f>
        <v>17180</v>
      </c>
      <c r="D39" s="360">
        <f>ROUNDDOWN('料金表(税抜)'!D39*(1+$K$3),0)</f>
        <v>17226</v>
      </c>
      <c r="E39" s="360">
        <f>ROUNDDOWN('料金表(税抜)'!E39*(1+$K$3),0)</f>
        <v>17271</v>
      </c>
      <c r="F39" s="360">
        <f>ROUNDDOWN('料金表(税抜)'!F39*(1+$K$3),0)</f>
        <v>17315</v>
      </c>
      <c r="G39" s="360">
        <f>ROUNDDOWN('料金表(税抜)'!G39*(1+$K$3),0)</f>
        <v>17360</v>
      </c>
      <c r="H39" s="360">
        <f>ROUNDDOWN('料金表(税抜)'!H39*(1+$K$3),0)</f>
        <v>17405</v>
      </c>
      <c r="I39" s="360">
        <f>ROUNDDOWN('料金表(税抜)'!I39*(1+$K$3),0)</f>
        <v>17450</v>
      </c>
      <c r="J39" s="360">
        <f>ROUNDDOWN('料金表(税抜)'!J39*(1+$K$3),0)</f>
        <v>17495</v>
      </c>
      <c r="K39" s="366">
        <f>ROUNDDOWN('料金表(税抜)'!K39*(1+$K$3),0)</f>
        <v>17539</v>
      </c>
    </row>
    <row r="40" spans="1:11">
      <c r="A40" s="380">
        <v>33</v>
      </c>
      <c r="B40" s="365">
        <f>ROUNDDOWN('料金表(税抜)'!B40*(1+$K$3),0)</f>
        <v>17584</v>
      </c>
      <c r="C40" s="360">
        <f>ROUNDDOWN('料金表(税抜)'!C40*(1+$K$3),0)</f>
        <v>17629</v>
      </c>
      <c r="D40" s="360">
        <f>ROUNDDOWN('料金表(税抜)'!D40*(1+$K$3),0)</f>
        <v>17674</v>
      </c>
      <c r="E40" s="360">
        <f>ROUNDDOWN('料金表(税抜)'!E40*(1+$K$3),0)</f>
        <v>17719</v>
      </c>
      <c r="F40" s="360">
        <f>ROUNDDOWN('料金表(税抜)'!F40*(1+$K$3),0)</f>
        <v>17765</v>
      </c>
      <c r="G40" s="360">
        <f>ROUNDDOWN('料金表(税抜)'!G40*(1+$K$3),0)</f>
        <v>17809</v>
      </c>
      <c r="H40" s="360">
        <f>ROUNDDOWN('料金表(税抜)'!H40*(1+$K$3),0)</f>
        <v>17854</v>
      </c>
      <c r="I40" s="360">
        <f>ROUNDDOWN('料金表(税抜)'!I40*(1+$K$3),0)</f>
        <v>17899</v>
      </c>
      <c r="J40" s="360">
        <f>ROUNDDOWN('料金表(税抜)'!J40*(1+$K$3),0)</f>
        <v>17944</v>
      </c>
      <c r="K40" s="366">
        <f>ROUNDDOWN('料金表(税抜)'!K40*(1+$K$3),0)</f>
        <v>17989</v>
      </c>
    </row>
    <row r="41" spans="1:11">
      <c r="A41" s="380">
        <v>34</v>
      </c>
      <c r="B41" s="365">
        <f>ROUNDDOWN('料金表(税抜)'!B41*(1+$K$3),0)</f>
        <v>18034</v>
      </c>
      <c r="C41" s="360">
        <f>ROUNDDOWN('料金表(税抜)'!C41*(1+$K$3),0)</f>
        <v>18078</v>
      </c>
      <c r="D41" s="360">
        <f>ROUNDDOWN('料金表(税抜)'!D41*(1+$K$3),0)</f>
        <v>18123</v>
      </c>
      <c r="E41" s="360">
        <f>ROUNDDOWN('料金表(税抜)'!E41*(1+$K$3),0)</f>
        <v>18168</v>
      </c>
      <c r="F41" s="360">
        <f>ROUNDDOWN('料金表(税抜)'!F41*(1+$K$3),0)</f>
        <v>18213</v>
      </c>
      <c r="G41" s="360">
        <f>ROUNDDOWN('料金表(税抜)'!G41*(1+$K$3),0)</f>
        <v>18258</v>
      </c>
      <c r="H41" s="360">
        <f>ROUNDDOWN('料金表(税抜)'!H41*(1+$K$3),0)</f>
        <v>18302</v>
      </c>
      <c r="I41" s="360">
        <f>ROUNDDOWN('料金表(税抜)'!I41*(1+$K$3),0)</f>
        <v>18348</v>
      </c>
      <c r="J41" s="360">
        <f>ROUNDDOWN('料金表(税抜)'!J41*(1+$K$3),0)</f>
        <v>18393</v>
      </c>
      <c r="K41" s="366">
        <f>ROUNDDOWN('料金表(税抜)'!K41*(1+$K$3),0)</f>
        <v>18438</v>
      </c>
    </row>
    <row r="42" spans="1:11">
      <c r="A42" s="382">
        <v>35</v>
      </c>
      <c r="B42" s="371">
        <f>ROUNDDOWN('料金表(税抜)'!B42*(1+$K$3),0)</f>
        <v>18483</v>
      </c>
      <c r="C42" s="372">
        <f>ROUNDDOWN('料金表(税抜)'!C42*(1+$K$3),0)</f>
        <v>18528</v>
      </c>
      <c r="D42" s="372">
        <f>ROUNDDOWN('料金表(税抜)'!D42*(1+$K$3),0)</f>
        <v>18572</v>
      </c>
      <c r="E42" s="372">
        <f>ROUNDDOWN('料金表(税抜)'!E42*(1+$K$3),0)</f>
        <v>18617</v>
      </c>
      <c r="F42" s="372">
        <f>ROUNDDOWN('料金表(税抜)'!F42*(1+$K$3),0)</f>
        <v>18662</v>
      </c>
      <c r="G42" s="372">
        <f>ROUNDDOWN('料金表(税抜)'!G42*(1+$K$3),0)</f>
        <v>18707</v>
      </c>
      <c r="H42" s="372">
        <f>ROUNDDOWN('料金表(税抜)'!H42*(1+$K$3),0)</f>
        <v>18752</v>
      </c>
      <c r="I42" s="372">
        <f>ROUNDDOWN('料金表(税抜)'!I42*(1+$K$3),0)</f>
        <v>18796</v>
      </c>
      <c r="J42" s="372">
        <f>ROUNDDOWN('料金表(税抜)'!J42*(1+$K$3),0)</f>
        <v>18841</v>
      </c>
      <c r="K42" s="373">
        <f>ROUNDDOWN('料金表(税抜)'!K42*(1+$K$3),0)</f>
        <v>18887</v>
      </c>
    </row>
    <row r="43" spans="1:11">
      <c r="A43" s="379">
        <v>36</v>
      </c>
      <c r="B43" s="365">
        <f>ROUNDDOWN('料金表(税抜)'!B43*(1+$K$3),0)</f>
        <v>18932</v>
      </c>
      <c r="C43" s="360">
        <f>ROUNDDOWN('料金表(税抜)'!C43*(1+$K$3),0)</f>
        <v>18977</v>
      </c>
      <c r="D43" s="360">
        <f>ROUNDDOWN('料金表(税抜)'!D43*(1+$K$3),0)</f>
        <v>19022</v>
      </c>
      <c r="E43" s="360">
        <f>ROUNDDOWN('料金表(税抜)'!E43*(1+$K$3),0)</f>
        <v>19066</v>
      </c>
      <c r="F43" s="360">
        <f>ROUNDDOWN('料金表(税抜)'!F43*(1+$K$3),0)</f>
        <v>19111</v>
      </c>
      <c r="G43" s="360">
        <f>ROUNDDOWN('料金表(税抜)'!G43*(1+$K$3),0)</f>
        <v>19156</v>
      </c>
      <c r="H43" s="360">
        <f>ROUNDDOWN('料金表(税抜)'!H43*(1+$K$3),0)</f>
        <v>19201</v>
      </c>
      <c r="I43" s="360">
        <f>ROUNDDOWN('料金表(税抜)'!I43*(1+$K$3),0)</f>
        <v>19246</v>
      </c>
      <c r="J43" s="360">
        <f>ROUNDDOWN('料金表(税抜)'!J43*(1+$K$3),0)</f>
        <v>19290</v>
      </c>
      <c r="K43" s="366">
        <f>ROUNDDOWN('料金表(税抜)'!K43*(1+$K$3),0)</f>
        <v>19335</v>
      </c>
    </row>
    <row r="44" spans="1:11">
      <c r="A44" s="380">
        <v>37</v>
      </c>
      <c r="B44" s="365">
        <f>ROUNDDOWN('料金表(税抜)'!B44*(1+$K$3),0)</f>
        <v>19380</v>
      </c>
      <c r="C44" s="360">
        <f>ROUNDDOWN('料金表(税抜)'!C44*(1+$K$3),0)</f>
        <v>19426</v>
      </c>
      <c r="D44" s="360">
        <f>ROUNDDOWN('料金表(税抜)'!D44*(1+$K$3),0)</f>
        <v>19471</v>
      </c>
      <c r="E44" s="360">
        <f>ROUNDDOWN('料金表(税抜)'!E44*(1+$K$3),0)</f>
        <v>19516</v>
      </c>
      <c r="F44" s="360">
        <f>ROUNDDOWN('料金表(税抜)'!F44*(1+$K$3),0)</f>
        <v>19560</v>
      </c>
      <c r="G44" s="360">
        <f>ROUNDDOWN('料金表(税抜)'!G44*(1+$K$3),0)</f>
        <v>19605</v>
      </c>
      <c r="H44" s="360">
        <f>ROUNDDOWN('料金表(税抜)'!H44*(1+$K$3),0)</f>
        <v>19650</v>
      </c>
      <c r="I44" s="360">
        <f>ROUNDDOWN('料金表(税抜)'!I44*(1+$K$3),0)</f>
        <v>19695</v>
      </c>
      <c r="J44" s="360">
        <f>ROUNDDOWN('料金表(税抜)'!J44*(1+$K$3),0)</f>
        <v>19740</v>
      </c>
      <c r="K44" s="366">
        <f>ROUNDDOWN('料金表(税抜)'!K44*(1+$K$3),0)</f>
        <v>19784</v>
      </c>
    </row>
    <row r="45" spans="1:11">
      <c r="A45" s="380">
        <v>38</v>
      </c>
      <c r="B45" s="365">
        <f>ROUNDDOWN('料金表(税抜)'!B45*(1+$K$3),0)</f>
        <v>19829</v>
      </c>
      <c r="C45" s="360">
        <f>ROUNDDOWN('料金表(税抜)'!C45*(1+$K$3),0)</f>
        <v>19874</v>
      </c>
      <c r="D45" s="360">
        <f>ROUNDDOWN('料金表(税抜)'!D45*(1+$K$3),0)</f>
        <v>19919</v>
      </c>
      <c r="E45" s="360">
        <f>ROUNDDOWN('料金表(税抜)'!E45*(1+$K$3),0)</f>
        <v>19965</v>
      </c>
      <c r="F45" s="360">
        <f>ROUNDDOWN('料金表(税抜)'!F45*(1+$K$3),0)</f>
        <v>20010</v>
      </c>
      <c r="G45" s="360">
        <f>ROUNDDOWN('料金表(税抜)'!G45*(1+$K$3),0)</f>
        <v>20054</v>
      </c>
      <c r="H45" s="360">
        <f>ROUNDDOWN('料金表(税抜)'!H45*(1+$K$3),0)</f>
        <v>20099</v>
      </c>
      <c r="I45" s="360">
        <f>ROUNDDOWN('料金表(税抜)'!I45*(1+$K$3),0)</f>
        <v>20144</v>
      </c>
      <c r="J45" s="360">
        <f>ROUNDDOWN('料金表(税抜)'!J45*(1+$K$3),0)</f>
        <v>20189</v>
      </c>
      <c r="K45" s="366">
        <f>ROUNDDOWN('料金表(税抜)'!K45*(1+$K$3),0)</f>
        <v>20234</v>
      </c>
    </row>
    <row r="46" spans="1:11">
      <c r="A46" s="380">
        <v>39</v>
      </c>
      <c r="B46" s="365">
        <f>ROUNDDOWN('料金表(税抜)'!B46*(1+$K$3),0)</f>
        <v>20279</v>
      </c>
      <c r="C46" s="360">
        <f>ROUNDDOWN('料金表(税抜)'!C46*(1+$K$3),0)</f>
        <v>20323</v>
      </c>
      <c r="D46" s="360">
        <f>ROUNDDOWN('料金表(税抜)'!D46*(1+$K$3),0)</f>
        <v>20368</v>
      </c>
      <c r="E46" s="360">
        <f>ROUNDDOWN('料金表(税抜)'!E46*(1+$K$3),0)</f>
        <v>20413</v>
      </c>
      <c r="F46" s="360">
        <f>ROUNDDOWN('料金表(税抜)'!F46*(1+$K$3),0)</f>
        <v>20458</v>
      </c>
      <c r="G46" s="360">
        <f>ROUNDDOWN('料金表(税抜)'!G46*(1+$K$3),0)</f>
        <v>20504</v>
      </c>
      <c r="H46" s="360">
        <f>ROUNDDOWN('料金表(税抜)'!H46*(1+$K$3),0)</f>
        <v>20548</v>
      </c>
      <c r="I46" s="360">
        <f>ROUNDDOWN('料金表(税抜)'!I46*(1+$K$3),0)</f>
        <v>20593</v>
      </c>
      <c r="J46" s="360">
        <f>ROUNDDOWN('料金表(税抜)'!J46*(1+$K$3),0)</f>
        <v>20638</v>
      </c>
      <c r="K46" s="366">
        <f>ROUNDDOWN('料金表(税抜)'!K46*(1+$K$3),0)</f>
        <v>20683</v>
      </c>
    </row>
    <row r="47" spans="1:11">
      <c r="A47" s="382">
        <v>40</v>
      </c>
      <c r="B47" s="371">
        <f>ROUNDDOWN('料金表(税抜)'!B47*(1+$K$3),0)</f>
        <v>20728</v>
      </c>
      <c r="C47" s="372">
        <f>ROUNDDOWN('料金表(税抜)'!C47*(1+$K$3),0)</f>
        <v>20773</v>
      </c>
      <c r="D47" s="372">
        <f>ROUNDDOWN('料金表(税抜)'!D47*(1+$K$3),0)</f>
        <v>20817</v>
      </c>
      <c r="E47" s="372">
        <f>ROUNDDOWN('料金表(税抜)'!E47*(1+$K$3),0)</f>
        <v>20862</v>
      </c>
      <c r="F47" s="372">
        <f>ROUNDDOWN('料金表(税抜)'!F47*(1+$K$3),0)</f>
        <v>20907</v>
      </c>
      <c r="G47" s="372">
        <f>ROUNDDOWN('料金表(税抜)'!G47*(1+$K$3),0)</f>
        <v>20952</v>
      </c>
      <c r="H47" s="372">
        <f>ROUNDDOWN('料金表(税抜)'!H47*(1+$K$3),0)</f>
        <v>20997</v>
      </c>
      <c r="I47" s="372">
        <f>ROUNDDOWN('料金表(税抜)'!I47*(1+$K$3),0)</f>
        <v>21041</v>
      </c>
      <c r="J47" s="372">
        <f>ROUNDDOWN('料金表(税抜)'!J47*(1+$K$3),0)</f>
        <v>21087</v>
      </c>
      <c r="K47" s="373">
        <f>ROUNDDOWN('料金表(税抜)'!K47*(1+$K$3),0)</f>
        <v>21132</v>
      </c>
    </row>
    <row r="48" spans="1:11">
      <c r="A48" s="379">
        <v>41</v>
      </c>
      <c r="B48" s="365">
        <f>ROUNDDOWN('料金表(税抜)'!B48*(1+$K$3),0)</f>
        <v>21177</v>
      </c>
      <c r="C48" s="360">
        <f>ROUNDDOWN('料金表(税抜)'!C48*(1+$K$3),0)</f>
        <v>21222</v>
      </c>
      <c r="D48" s="360">
        <f>ROUNDDOWN('料金表(税抜)'!D48*(1+$K$3),0)</f>
        <v>21267</v>
      </c>
      <c r="E48" s="360">
        <f>ROUNDDOWN('料金表(税抜)'!E48*(1+$K$3),0)</f>
        <v>21311</v>
      </c>
      <c r="F48" s="360">
        <f>ROUNDDOWN('料金表(税抜)'!F48*(1+$K$3),0)</f>
        <v>21356</v>
      </c>
      <c r="G48" s="360">
        <f>ROUNDDOWN('料金表(税抜)'!G48*(1+$K$3),0)</f>
        <v>21401</v>
      </c>
      <c r="H48" s="360">
        <f>ROUNDDOWN('料金表(税抜)'!H48*(1+$K$3),0)</f>
        <v>21446</v>
      </c>
      <c r="I48" s="360">
        <f>ROUNDDOWN('料金表(税抜)'!I48*(1+$K$3),0)</f>
        <v>21491</v>
      </c>
      <c r="J48" s="360">
        <f>ROUNDDOWN('料金表(税抜)'!J48*(1+$K$3),0)</f>
        <v>21535</v>
      </c>
      <c r="K48" s="366">
        <f>ROUNDDOWN('料金表(税抜)'!K48*(1+$K$3),0)</f>
        <v>21580</v>
      </c>
    </row>
    <row r="49" spans="1:11">
      <c r="A49" s="380">
        <v>42</v>
      </c>
      <c r="B49" s="365">
        <f>ROUNDDOWN('料金表(税抜)'!B49*(1+$K$3),0)</f>
        <v>21626</v>
      </c>
      <c r="C49" s="360">
        <f>ROUNDDOWN('料金表(税抜)'!C49*(1+$K$3),0)</f>
        <v>21671</v>
      </c>
      <c r="D49" s="360">
        <f>ROUNDDOWN('料金表(税抜)'!D49*(1+$K$3),0)</f>
        <v>21716</v>
      </c>
      <c r="E49" s="360">
        <f>ROUNDDOWN('料金表(税抜)'!E49*(1+$K$3),0)</f>
        <v>21761</v>
      </c>
      <c r="F49" s="360">
        <f>ROUNDDOWN('料金表(税抜)'!F49*(1+$K$3),0)</f>
        <v>21805</v>
      </c>
      <c r="G49" s="360">
        <f>ROUNDDOWN('料金表(税抜)'!G49*(1+$K$3),0)</f>
        <v>21850</v>
      </c>
      <c r="H49" s="360">
        <f>ROUNDDOWN('料金表(税抜)'!H49*(1+$K$3),0)</f>
        <v>21895</v>
      </c>
      <c r="I49" s="360">
        <f>ROUNDDOWN('料金表(税抜)'!I49*(1+$K$3),0)</f>
        <v>21940</v>
      </c>
      <c r="J49" s="360">
        <f>ROUNDDOWN('料金表(税抜)'!J49*(1+$K$3),0)</f>
        <v>21985</v>
      </c>
      <c r="K49" s="366">
        <f>ROUNDDOWN('料金表(税抜)'!K49*(1+$K$3),0)</f>
        <v>22029</v>
      </c>
    </row>
    <row r="50" spans="1:11">
      <c r="A50" s="380">
        <v>43</v>
      </c>
      <c r="B50" s="365">
        <f>ROUNDDOWN('料金表(税抜)'!B50*(1+$K$3),0)</f>
        <v>22074</v>
      </c>
      <c r="C50" s="360">
        <f>ROUNDDOWN('料金表(税抜)'!C50*(1+$K$3),0)</f>
        <v>22119</v>
      </c>
      <c r="D50" s="360">
        <f>ROUNDDOWN('料金表(税抜)'!D50*(1+$K$3),0)</f>
        <v>22165</v>
      </c>
      <c r="E50" s="360">
        <f>ROUNDDOWN('料金表(税抜)'!E50*(1+$K$3),0)</f>
        <v>22210</v>
      </c>
      <c r="F50" s="360">
        <f>ROUNDDOWN('料金表(税抜)'!F50*(1+$K$3),0)</f>
        <v>22255</v>
      </c>
      <c r="G50" s="360">
        <f>ROUNDDOWN('料金表(税抜)'!G50*(1+$K$3),0)</f>
        <v>22299</v>
      </c>
      <c r="H50" s="360">
        <f>ROUNDDOWN('料金表(税抜)'!H50*(1+$K$3),0)</f>
        <v>22344</v>
      </c>
      <c r="I50" s="360">
        <f>ROUNDDOWN('料金表(税抜)'!I50*(1+$K$3),0)</f>
        <v>22389</v>
      </c>
      <c r="J50" s="360">
        <f>ROUNDDOWN('料金表(税抜)'!J50*(1+$K$3),0)</f>
        <v>22434</v>
      </c>
      <c r="K50" s="366">
        <f>ROUNDDOWN('料金表(税抜)'!K50*(1+$K$3),0)</f>
        <v>22479</v>
      </c>
    </row>
    <row r="51" spans="1:11">
      <c r="A51" s="380">
        <v>44</v>
      </c>
      <c r="B51" s="365">
        <f>ROUNDDOWN('料金表(税抜)'!B51*(1+$K$3),0)</f>
        <v>22524</v>
      </c>
      <c r="C51" s="360">
        <f>ROUNDDOWN('料金表(税抜)'!C51*(1+$K$3),0)</f>
        <v>22568</v>
      </c>
      <c r="D51" s="360">
        <f>ROUNDDOWN('料金表(税抜)'!D51*(1+$K$3),0)</f>
        <v>22613</v>
      </c>
      <c r="E51" s="360">
        <f>ROUNDDOWN('料金表(税抜)'!E51*(1+$K$3),0)</f>
        <v>22658</v>
      </c>
      <c r="F51" s="360">
        <f>ROUNDDOWN('料金表(税抜)'!F51*(1+$K$3),0)</f>
        <v>22704</v>
      </c>
      <c r="G51" s="360">
        <f>ROUNDDOWN('料金表(税抜)'!G51*(1+$K$3),0)</f>
        <v>22749</v>
      </c>
      <c r="H51" s="360">
        <f>ROUNDDOWN('料金表(税抜)'!H51*(1+$K$3),0)</f>
        <v>22793</v>
      </c>
      <c r="I51" s="360">
        <f>ROUNDDOWN('料金表(税抜)'!I51*(1+$K$3),0)</f>
        <v>22838</v>
      </c>
      <c r="J51" s="360">
        <f>ROUNDDOWN('料金表(税抜)'!J51*(1+$K$3),0)</f>
        <v>22883</v>
      </c>
      <c r="K51" s="366">
        <f>ROUNDDOWN('料金表(税抜)'!K51*(1+$K$3),0)</f>
        <v>22928</v>
      </c>
    </row>
    <row r="52" spans="1:11">
      <c r="A52" s="382">
        <v>45</v>
      </c>
      <c r="B52" s="371">
        <f>ROUNDDOWN('料金表(税抜)'!B52*(1+$K$3),0)</f>
        <v>22973</v>
      </c>
      <c r="C52" s="372">
        <f>ROUNDDOWN('料金表(税抜)'!C52*(1+$K$3),0)</f>
        <v>23018</v>
      </c>
      <c r="D52" s="372">
        <f>ROUNDDOWN('料金表(税抜)'!D52*(1+$K$3),0)</f>
        <v>23062</v>
      </c>
      <c r="E52" s="372">
        <f>ROUNDDOWN('料金表(税抜)'!E52*(1+$K$3),0)</f>
        <v>23107</v>
      </c>
      <c r="F52" s="372">
        <f>ROUNDDOWN('料金表(税抜)'!F52*(1+$K$3),0)</f>
        <v>23152</v>
      </c>
      <c r="G52" s="372">
        <f>ROUNDDOWN('料金表(税抜)'!G52*(1+$K$3),0)</f>
        <v>23197</v>
      </c>
      <c r="H52" s="372">
        <f>ROUNDDOWN('料金表(税抜)'!H52*(1+$K$3),0)</f>
        <v>23243</v>
      </c>
      <c r="I52" s="372">
        <f>ROUNDDOWN('料金表(税抜)'!I52*(1+$K$3),0)</f>
        <v>23287</v>
      </c>
      <c r="J52" s="372">
        <f>ROUNDDOWN('料金表(税抜)'!J52*(1+$K$3),0)</f>
        <v>23332</v>
      </c>
      <c r="K52" s="373">
        <f>ROUNDDOWN('料金表(税抜)'!K52*(1+$K$3),0)</f>
        <v>23377</v>
      </c>
    </row>
    <row r="53" spans="1:11">
      <c r="A53" s="379">
        <v>46</v>
      </c>
      <c r="B53" s="365">
        <f>ROUNDDOWN('料金表(税抜)'!B53*(1+$K$3),0)</f>
        <v>23422</v>
      </c>
      <c r="C53" s="360">
        <f>ROUNDDOWN('料金表(税抜)'!C53*(1+$K$3),0)</f>
        <v>23467</v>
      </c>
      <c r="D53" s="360">
        <f>ROUNDDOWN('料金表(税抜)'!D53*(1+$K$3),0)</f>
        <v>23512</v>
      </c>
      <c r="E53" s="360">
        <f>ROUNDDOWN('料金表(税抜)'!E53*(1+$K$3),0)</f>
        <v>23556</v>
      </c>
      <c r="F53" s="360">
        <f>ROUNDDOWN('料金表(税抜)'!F53*(1+$K$3),0)</f>
        <v>23601</v>
      </c>
      <c r="G53" s="360">
        <f>ROUNDDOWN('料金表(税抜)'!G53*(1+$K$3),0)</f>
        <v>23646</v>
      </c>
      <c r="H53" s="360">
        <f>ROUNDDOWN('料金表(税抜)'!H53*(1+$K$3),0)</f>
        <v>23691</v>
      </c>
      <c r="I53" s="360">
        <f>ROUNDDOWN('料金表(税抜)'!I53*(1+$K$3),0)</f>
        <v>23736</v>
      </c>
      <c r="J53" s="360">
        <f>ROUNDDOWN('料金表(税抜)'!J53*(1+$K$3),0)</f>
        <v>23780</v>
      </c>
      <c r="K53" s="366">
        <f>ROUNDDOWN('料金表(税抜)'!K53*(1+$K$3),0)</f>
        <v>23826</v>
      </c>
    </row>
    <row r="54" spans="1:11">
      <c r="A54" s="380">
        <v>47</v>
      </c>
      <c r="B54" s="365">
        <f>ROUNDDOWN('料金表(税抜)'!B54*(1+$K$3),0)</f>
        <v>23871</v>
      </c>
      <c r="C54" s="360">
        <f>ROUNDDOWN('料金表(税抜)'!C54*(1+$K$3),0)</f>
        <v>23916</v>
      </c>
      <c r="D54" s="360">
        <f>ROUNDDOWN('料金表(税抜)'!D54*(1+$K$3),0)</f>
        <v>23961</v>
      </c>
      <c r="E54" s="360">
        <f>ROUNDDOWN('料金表(税抜)'!E54*(1+$K$3),0)</f>
        <v>24006</v>
      </c>
      <c r="F54" s="360">
        <f>ROUNDDOWN('料金表(税抜)'!F54*(1+$K$3),0)</f>
        <v>24050</v>
      </c>
      <c r="G54" s="360">
        <f>ROUNDDOWN('料金表(税抜)'!G54*(1+$K$3),0)</f>
        <v>24095</v>
      </c>
      <c r="H54" s="360">
        <f>ROUNDDOWN('料金表(税抜)'!H54*(1+$K$3),0)</f>
        <v>24140</v>
      </c>
      <c r="I54" s="360">
        <f>ROUNDDOWN('料金表(税抜)'!I54*(1+$K$3),0)</f>
        <v>24185</v>
      </c>
      <c r="J54" s="360">
        <f>ROUNDDOWN('料金表(税抜)'!J54*(1+$K$3),0)</f>
        <v>24230</v>
      </c>
      <c r="K54" s="366">
        <f>ROUNDDOWN('料金表(税抜)'!K54*(1+$K$3),0)</f>
        <v>24274</v>
      </c>
    </row>
    <row r="55" spans="1:11">
      <c r="A55" s="380">
        <v>48</v>
      </c>
      <c r="B55" s="365">
        <f>ROUNDDOWN('料金表(税抜)'!B55*(1+$K$3),0)</f>
        <v>24319</v>
      </c>
      <c r="C55" s="360">
        <f>ROUNDDOWN('料金表(税抜)'!C55*(1+$K$3),0)</f>
        <v>24365</v>
      </c>
      <c r="D55" s="360">
        <f>ROUNDDOWN('料金表(税抜)'!D55*(1+$K$3),0)</f>
        <v>24410</v>
      </c>
      <c r="E55" s="360">
        <f>ROUNDDOWN('料金表(税抜)'!E55*(1+$K$3),0)</f>
        <v>24455</v>
      </c>
      <c r="F55" s="360">
        <f>ROUNDDOWN('料金表(税抜)'!F55*(1+$K$3),0)</f>
        <v>24500</v>
      </c>
      <c r="G55" s="360">
        <f>ROUNDDOWN('料金表(税抜)'!G55*(1+$K$3),0)</f>
        <v>24544</v>
      </c>
      <c r="H55" s="360">
        <f>ROUNDDOWN('料金表(税抜)'!H55*(1+$K$3),0)</f>
        <v>24589</v>
      </c>
      <c r="I55" s="360">
        <f>ROUNDDOWN('料金表(税抜)'!I55*(1+$K$3),0)</f>
        <v>24634</v>
      </c>
      <c r="J55" s="360">
        <f>ROUNDDOWN('料金表(税抜)'!J55*(1+$K$3),0)</f>
        <v>24679</v>
      </c>
      <c r="K55" s="366">
        <f>ROUNDDOWN('料金表(税抜)'!K55*(1+$K$3),0)</f>
        <v>24724</v>
      </c>
    </row>
    <row r="56" spans="1:11" ht="14.5" thickBot="1">
      <c r="A56" s="384">
        <v>49</v>
      </c>
      <c r="B56" s="361">
        <f>ROUNDDOWN('料金表(税抜)'!B56*(1+$K$3),0)</f>
        <v>24769</v>
      </c>
      <c r="C56" s="362">
        <f>ROUNDDOWN('料金表(税抜)'!C56*(1+$K$3),0)</f>
        <v>24813</v>
      </c>
      <c r="D56" s="362">
        <f>ROUNDDOWN('料金表(税抜)'!D56*(1+$K$3),0)</f>
        <v>24858</v>
      </c>
      <c r="E56" s="362">
        <f>ROUNDDOWN('料金表(税抜)'!E56*(1+$K$3),0)</f>
        <v>24904</v>
      </c>
      <c r="F56" s="362">
        <f>ROUNDDOWN('料金表(税抜)'!F56*(1+$K$3),0)</f>
        <v>24949</v>
      </c>
      <c r="G56" s="362">
        <f>ROUNDDOWN('料金表(税抜)'!G56*(1+$K$3),0)</f>
        <v>24994</v>
      </c>
      <c r="H56" s="362">
        <f>ROUNDDOWN('料金表(税抜)'!H56*(1+$K$3),0)</f>
        <v>25038</v>
      </c>
      <c r="I56" s="362">
        <f>ROUNDDOWN('料金表(税抜)'!I56*(1+$K$3),0)</f>
        <v>25083</v>
      </c>
      <c r="J56" s="362">
        <f>ROUNDDOWN('料金表(税抜)'!J56*(1+$K$3),0)</f>
        <v>25128</v>
      </c>
      <c r="K56" s="367">
        <f>ROUNDDOWN('料金表(税抜)'!K56*(1+$K$3),0)</f>
        <v>25173</v>
      </c>
    </row>
    <row r="57" spans="1:11">
      <c r="A57" s="377"/>
      <c r="B57" s="363"/>
      <c r="C57" s="363"/>
      <c r="D57" s="363"/>
      <c r="E57" s="363"/>
      <c r="F57" s="363"/>
      <c r="G57" s="363"/>
      <c r="H57" s="363"/>
      <c r="I57" s="363"/>
      <c r="J57" s="363"/>
      <c r="K57" s="363"/>
    </row>
    <row r="58" spans="1:11">
      <c r="A58" s="377"/>
      <c r="B58" s="363"/>
      <c r="C58" s="363"/>
      <c r="D58" s="363"/>
      <c r="E58" s="363"/>
      <c r="F58" s="363"/>
      <c r="G58" s="363"/>
      <c r="H58" s="363"/>
      <c r="I58" s="363"/>
      <c r="J58" s="363"/>
      <c r="K58" s="363"/>
    </row>
    <row r="59" spans="1:11">
      <c r="A59" s="377"/>
      <c r="B59" s="363"/>
      <c r="C59" s="363"/>
      <c r="D59" s="363"/>
      <c r="E59" s="363"/>
      <c r="F59" s="363"/>
      <c r="G59" s="363"/>
      <c r="H59" s="363"/>
      <c r="I59" s="363"/>
      <c r="J59" s="363"/>
      <c r="K59" s="363"/>
    </row>
    <row r="60" spans="1:11">
      <c r="A60" s="432" t="str">
        <f>A4</f>
        <v>コミュニティー団地</v>
      </c>
      <c r="B60" s="363"/>
      <c r="C60" s="363"/>
      <c r="D60" s="363"/>
      <c r="E60" s="363"/>
      <c r="F60" s="363"/>
      <c r="G60" s="363"/>
      <c r="H60" s="363"/>
      <c r="I60" s="363"/>
      <c r="J60" s="363"/>
      <c r="K60" s="363"/>
    </row>
    <row r="61" spans="1:11" ht="14.5" thickBot="1">
      <c r="A61" s="364"/>
      <c r="J61" s="357"/>
      <c r="K61" s="148"/>
    </row>
    <row r="62" spans="1:11" ht="14.5" thickBot="1">
      <c r="A62" s="385"/>
      <c r="B62" s="358">
        <v>0</v>
      </c>
      <c r="C62" s="358">
        <v>0.1</v>
      </c>
      <c r="D62" s="358">
        <v>0.2</v>
      </c>
      <c r="E62" s="358">
        <v>0.3</v>
      </c>
      <c r="F62" s="358">
        <v>0.4</v>
      </c>
      <c r="G62" s="358">
        <v>0.5</v>
      </c>
      <c r="H62" s="358">
        <v>0.6</v>
      </c>
      <c r="I62" s="358">
        <v>0.7</v>
      </c>
      <c r="J62" s="358">
        <v>0.8</v>
      </c>
      <c r="K62" s="359">
        <v>0.9</v>
      </c>
    </row>
    <row r="63" spans="1:11">
      <c r="A63" s="386">
        <v>50</v>
      </c>
      <c r="B63" s="445">
        <f>ROUNDDOWN('料金表(税抜)'!B63*(1+$K$3),0)</f>
        <v>25218</v>
      </c>
      <c r="C63" s="446">
        <f>ROUNDDOWN('料金表(税抜)'!C63*(1+$K$3),0)</f>
        <v>25263</v>
      </c>
      <c r="D63" s="446">
        <f>ROUNDDOWN('料金表(税抜)'!D63*(1+$K$3),0)</f>
        <v>25307</v>
      </c>
      <c r="E63" s="446">
        <f>ROUNDDOWN('料金表(税抜)'!E63*(1+$K$3),0)</f>
        <v>25352</v>
      </c>
      <c r="F63" s="446">
        <f>ROUNDDOWN('料金表(税抜)'!F63*(1+$K$3),0)</f>
        <v>25397</v>
      </c>
      <c r="G63" s="446">
        <f>ROUNDDOWN('料金表(税抜)'!G63*(1+$K$3),0)</f>
        <v>25443</v>
      </c>
      <c r="H63" s="446">
        <f>ROUNDDOWN('料金表(税抜)'!H63*(1+$K$3),0)</f>
        <v>25488</v>
      </c>
      <c r="I63" s="446">
        <f>ROUNDDOWN('料金表(税抜)'!I63*(1+$K$3),0)</f>
        <v>25532</v>
      </c>
      <c r="J63" s="446">
        <f>ROUNDDOWN('料金表(税抜)'!J63*(1+$K$3),0)</f>
        <v>25577</v>
      </c>
      <c r="K63" s="447">
        <f>ROUNDDOWN('料金表(税抜)'!K63*(1+$K$3),0)</f>
        <v>25622</v>
      </c>
    </row>
    <row r="64" spans="1:11">
      <c r="A64" s="387">
        <v>51</v>
      </c>
      <c r="B64" s="365">
        <f>ROUNDDOWN('料金表(税抜)'!B64*(1+$K$3),0)</f>
        <v>25667</v>
      </c>
      <c r="C64" s="360">
        <f>ROUNDDOWN('料金表(税抜)'!C64*(1+$K$3),0)</f>
        <v>25712</v>
      </c>
      <c r="D64" s="360">
        <f>ROUNDDOWN('料金表(税抜)'!D64*(1+$K$3),0)</f>
        <v>25757</v>
      </c>
      <c r="E64" s="360">
        <f>ROUNDDOWN('料金表(税抜)'!E64*(1+$K$3),0)</f>
        <v>25801</v>
      </c>
      <c r="F64" s="360">
        <f>ROUNDDOWN('料金表(税抜)'!F64*(1+$K$3),0)</f>
        <v>25846</v>
      </c>
      <c r="G64" s="360">
        <f>ROUNDDOWN('料金表(税抜)'!G64*(1+$K$3),0)</f>
        <v>25891</v>
      </c>
      <c r="H64" s="360">
        <f>ROUNDDOWN('料金表(税抜)'!H64*(1+$K$3),0)</f>
        <v>25936</v>
      </c>
      <c r="I64" s="360">
        <f>ROUNDDOWN('料金表(税抜)'!I64*(1+$K$3),0)</f>
        <v>25982</v>
      </c>
      <c r="J64" s="360">
        <f>ROUNDDOWN('料金表(税抜)'!J64*(1+$K$3),0)</f>
        <v>26026</v>
      </c>
      <c r="K64" s="366">
        <f>ROUNDDOWN('料金表(税抜)'!K64*(1+$K$3),0)</f>
        <v>26071</v>
      </c>
    </row>
    <row r="65" spans="1:11">
      <c r="A65" s="380">
        <v>52</v>
      </c>
      <c r="B65" s="365">
        <f>ROUNDDOWN('料金表(税抜)'!B65*(1+$K$3),0)</f>
        <v>26116</v>
      </c>
      <c r="C65" s="360">
        <f>ROUNDDOWN('料金表(税抜)'!C65*(1+$K$3),0)</f>
        <v>26161</v>
      </c>
      <c r="D65" s="360">
        <f>ROUNDDOWN('料金表(税抜)'!D65*(1+$K$3),0)</f>
        <v>26206</v>
      </c>
      <c r="E65" s="360">
        <f>ROUNDDOWN('料金表(税抜)'!E65*(1+$K$3),0)</f>
        <v>26251</v>
      </c>
      <c r="F65" s="360">
        <f>ROUNDDOWN('料金表(税抜)'!F65*(1+$K$3),0)</f>
        <v>26295</v>
      </c>
      <c r="G65" s="360">
        <f>ROUNDDOWN('料金表(税抜)'!G65*(1+$K$3),0)</f>
        <v>26340</v>
      </c>
      <c r="H65" s="360">
        <f>ROUNDDOWN('料金表(税抜)'!H65*(1+$K$3),0)</f>
        <v>26385</v>
      </c>
      <c r="I65" s="360">
        <f>ROUNDDOWN('料金表(税抜)'!I65*(1+$K$3),0)</f>
        <v>26430</v>
      </c>
      <c r="J65" s="360">
        <f>ROUNDDOWN('料金表(税抜)'!J65*(1+$K$3),0)</f>
        <v>26475</v>
      </c>
      <c r="K65" s="366">
        <f>ROUNDDOWN('料金表(税抜)'!K65*(1+$K$3),0)</f>
        <v>26519</v>
      </c>
    </row>
    <row r="66" spans="1:11">
      <c r="A66" s="380">
        <v>53</v>
      </c>
      <c r="B66" s="365">
        <f>ROUNDDOWN('料金表(税抜)'!B66*(1+$K$3),0)</f>
        <v>26565</v>
      </c>
      <c r="C66" s="360">
        <f>ROUNDDOWN('料金表(税抜)'!C66*(1+$K$3),0)</f>
        <v>26610</v>
      </c>
      <c r="D66" s="360">
        <f>ROUNDDOWN('料金表(税抜)'!D66*(1+$K$3),0)</f>
        <v>26655</v>
      </c>
      <c r="E66" s="360">
        <f>ROUNDDOWN('料金表(税抜)'!E66*(1+$K$3),0)</f>
        <v>26700</v>
      </c>
      <c r="F66" s="360">
        <f>ROUNDDOWN('料金表(税抜)'!F66*(1+$K$3),0)</f>
        <v>26745</v>
      </c>
      <c r="G66" s="360">
        <f>ROUNDDOWN('料金表(税抜)'!G66*(1+$K$3),0)</f>
        <v>26789</v>
      </c>
      <c r="H66" s="360">
        <f>ROUNDDOWN('料金表(税抜)'!H66*(1+$K$3),0)</f>
        <v>26834</v>
      </c>
      <c r="I66" s="360">
        <f>ROUNDDOWN('料金表(税抜)'!I66*(1+$K$3),0)</f>
        <v>26879</v>
      </c>
      <c r="J66" s="360">
        <f>ROUNDDOWN('料金表(税抜)'!J66*(1+$K$3),0)</f>
        <v>26924</v>
      </c>
      <c r="K66" s="366">
        <f>ROUNDDOWN('料金表(税抜)'!K66*(1+$K$3),0)</f>
        <v>26969</v>
      </c>
    </row>
    <row r="67" spans="1:11">
      <c r="A67" s="380">
        <v>54</v>
      </c>
      <c r="B67" s="365">
        <f>ROUNDDOWN('料金表(税抜)'!B67*(1+$K$3),0)</f>
        <v>27014</v>
      </c>
      <c r="C67" s="360">
        <f>ROUNDDOWN('料金表(税抜)'!C67*(1+$K$3),0)</f>
        <v>27058</v>
      </c>
      <c r="D67" s="360">
        <f>ROUNDDOWN('料金表(税抜)'!D67*(1+$K$3),0)</f>
        <v>27104</v>
      </c>
      <c r="E67" s="360">
        <f>ROUNDDOWN('料金表(税抜)'!E67*(1+$K$3),0)</f>
        <v>27149</v>
      </c>
      <c r="F67" s="360">
        <f>ROUNDDOWN('料金表(税抜)'!F67*(1+$K$3),0)</f>
        <v>27194</v>
      </c>
      <c r="G67" s="360">
        <f>ROUNDDOWN('料金表(税抜)'!G67*(1+$K$3),0)</f>
        <v>27239</v>
      </c>
      <c r="H67" s="360">
        <f>ROUNDDOWN('料金表(税抜)'!H67*(1+$K$3),0)</f>
        <v>27283</v>
      </c>
      <c r="I67" s="360">
        <f>ROUNDDOWN('料金表(税抜)'!I67*(1+$K$3),0)</f>
        <v>27328</v>
      </c>
      <c r="J67" s="360">
        <f>ROUNDDOWN('料金表(税抜)'!J67*(1+$K$3),0)</f>
        <v>27373</v>
      </c>
      <c r="K67" s="366">
        <f>ROUNDDOWN('料金表(税抜)'!K67*(1+$K$3),0)</f>
        <v>27418</v>
      </c>
    </row>
    <row r="68" spans="1:11">
      <c r="A68" s="382">
        <v>55</v>
      </c>
      <c r="B68" s="371">
        <f>ROUNDDOWN('料金表(税抜)'!B68*(1+$K$3),0)</f>
        <v>27463</v>
      </c>
      <c r="C68" s="372">
        <f>ROUNDDOWN('料金表(税抜)'!C68*(1+$K$3),0)</f>
        <v>27508</v>
      </c>
      <c r="D68" s="372">
        <f>ROUNDDOWN('料金表(税抜)'!D68*(1+$K$3),0)</f>
        <v>27552</v>
      </c>
      <c r="E68" s="372">
        <f>ROUNDDOWN('料金表(税抜)'!E68*(1+$K$3),0)</f>
        <v>27597</v>
      </c>
      <c r="F68" s="372">
        <f>ROUNDDOWN('料金表(税抜)'!F68*(1+$K$3),0)</f>
        <v>27643</v>
      </c>
      <c r="G68" s="372">
        <f>ROUNDDOWN('料金表(税抜)'!G68*(1+$K$3),0)</f>
        <v>27688</v>
      </c>
      <c r="H68" s="372">
        <f>ROUNDDOWN('料金表(税抜)'!H68*(1+$K$3),0)</f>
        <v>27733</v>
      </c>
      <c r="I68" s="372">
        <f>ROUNDDOWN('料金表(税抜)'!I68*(1+$K$3),0)</f>
        <v>27777</v>
      </c>
      <c r="J68" s="372">
        <f>ROUNDDOWN('料金表(税抜)'!J68*(1+$K$3),0)</f>
        <v>27822</v>
      </c>
      <c r="K68" s="373">
        <f>ROUNDDOWN('料金表(税抜)'!K68*(1+$K$3),0)</f>
        <v>27867</v>
      </c>
    </row>
    <row r="69" spans="1:11">
      <c r="A69" s="379">
        <v>56</v>
      </c>
      <c r="B69" s="365">
        <f>ROUNDDOWN('料金表(税抜)'!B69*(1+$K$3),0)</f>
        <v>27912</v>
      </c>
      <c r="C69" s="360">
        <f>ROUNDDOWN('料金表(税抜)'!C69*(1+$K$3),0)</f>
        <v>27957</v>
      </c>
      <c r="D69" s="360">
        <f>ROUNDDOWN('料金表(税抜)'!D69*(1+$K$3),0)</f>
        <v>28002</v>
      </c>
      <c r="E69" s="360">
        <f>ROUNDDOWN('料金表(税抜)'!E69*(1+$K$3),0)</f>
        <v>28046</v>
      </c>
      <c r="F69" s="360">
        <f>ROUNDDOWN('料金表(税抜)'!F69*(1+$K$3),0)</f>
        <v>28091</v>
      </c>
      <c r="G69" s="360">
        <f>ROUNDDOWN('料金表(税抜)'!G69*(1+$K$3),0)</f>
        <v>28136</v>
      </c>
      <c r="H69" s="360">
        <f>ROUNDDOWN('料金表(税抜)'!H69*(1+$K$3),0)</f>
        <v>28182</v>
      </c>
      <c r="I69" s="360">
        <f>ROUNDDOWN('料金表(税抜)'!I69*(1+$K$3),0)</f>
        <v>28227</v>
      </c>
      <c r="J69" s="360">
        <f>ROUNDDOWN('料金表(税抜)'!J69*(1+$K$3),0)</f>
        <v>28271</v>
      </c>
      <c r="K69" s="366">
        <f>ROUNDDOWN('料金表(税抜)'!K69*(1+$K$3),0)</f>
        <v>28316</v>
      </c>
    </row>
    <row r="70" spans="1:11">
      <c r="A70" s="380">
        <v>57</v>
      </c>
      <c r="B70" s="365">
        <f>ROUNDDOWN('料金表(税抜)'!B70*(1+$K$3),0)</f>
        <v>28361</v>
      </c>
      <c r="C70" s="360">
        <f>ROUNDDOWN('料金表(税抜)'!C70*(1+$K$3),0)</f>
        <v>28406</v>
      </c>
      <c r="D70" s="360">
        <f>ROUNDDOWN('料金表(税抜)'!D70*(1+$K$3),0)</f>
        <v>28451</v>
      </c>
      <c r="E70" s="360">
        <f>ROUNDDOWN('料金表(税抜)'!E70*(1+$K$3),0)</f>
        <v>28496</v>
      </c>
      <c r="F70" s="360">
        <f>ROUNDDOWN('料金表(税抜)'!F70*(1+$K$3),0)</f>
        <v>28540</v>
      </c>
      <c r="G70" s="360">
        <f>ROUNDDOWN('料金表(税抜)'!G70*(1+$K$3),0)</f>
        <v>28585</v>
      </c>
      <c r="H70" s="360">
        <f>ROUNDDOWN('料金表(税抜)'!H70*(1+$K$3),0)</f>
        <v>28630</v>
      </c>
      <c r="I70" s="360">
        <f>ROUNDDOWN('料金表(税抜)'!I70*(1+$K$3),0)</f>
        <v>28675</v>
      </c>
      <c r="J70" s="360">
        <f>ROUNDDOWN('料金表(税抜)'!J70*(1+$K$3),0)</f>
        <v>28721</v>
      </c>
      <c r="K70" s="366">
        <f>ROUNDDOWN('料金表(税抜)'!K70*(1+$K$3),0)</f>
        <v>28765</v>
      </c>
    </row>
    <row r="71" spans="1:11">
      <c r="A71" s="380">
        <v>58</v>
      </c>
      <c r="B71" s="365">
        <f>ROUNDDOWN('料金表(税抜)'!B71*(1+$K$3),0)</f>
        <v>28810</v>
      </c>
      <c r="C71" s="360">
        <f>ROUNDDOWN('料金表(税抜)'!C71*(1+$K$3),0)</f>
        <v>28855</v>
      </c>
      <c r="D71" s="360">
        <f>ROUNDDOWN('料金表(税抜)'!D71*(1+$K$3),0)</f>
        <v>28900</v>
      </c>
      <c r="E71" s="360">
        <f>ROUNDDOWN('料金表(税抜)'!E71*(1+$K$3),0)</f>
        <v>28945</v>
      </c>
      <c r="F71" s="360">
        <f>ROUNDDOWN('料金表(税抜)'!F71*(1+$K$3),0)</f>
        <v>28990</v>
      </c>
      <c r="G71" s="360">
        <f>ROUNDDOWN('料金表(税抜)'!G71*(1+$K$3),0)</f>
        <v>29034</v>
      </c>
      <c r="H71" s="360">
        <f>ROUNDDOWN('料金表(税抜)'!H71*(1+$K$3),0)</f>
        <v>29079</v>
      </c>
      <c r="I71" s="360">
        <f>ROUNDDOWN('料金表(税抜)'!I71*(1+$K$3),0)</f>
        <v>29124</v>
      </c>
      <c r="J71" s="360">
        <f>ROUNDDOWN('料金表(税抜)'!J71*(1+$K$3),0)</f>
        <v>29169</v>
      </c>
      <c r="K71" s="366">
        <f>ROUNDDOWN('料金表(税抜)'!K71*(1+$K$3),0)</f>
        <v>29214</v>
      </c>
    </row>
    <row r="72" spans="1:11">
      <c r="A72" s="380">
        <v>59</v>
      </c>
      <c r="B72" s="365">
        <f>ROUNDDOWN('料金表(税抜)'!B72*(1+$K$3),0)</f>
        <v>29260</v>
      </c>
      <c r="C72" s="360">
        <f>ROUNDDOWN('料金表(税抜)'!C72*(1+$K$3),0)</f>
        <v>29304</v>
      </c>
      <c r="D72" s="360">
        <f>ROUNDDOWN('料金表(税抜)'!D72*(1+$K$3),0)</f>
        <v>29349</v>
      </c>
      <c r="E72" s="360">
        <f>ROUNDDOWN('料金表(税抜)'!E72*(1+$K$3),0)</f>
        <v>29394</v>
      </c>
      <c r="F72" s="360">
        <f>ROUNDDOWN('料金表(税抜)'!F72*(1+$K$3),0)</f>
        <v>29439</v>
      </c>
      <c r="G72" s="360">
        <f>ROUNDDOWN('料金表(税抜)'!G72*(1+$K$3),0)</f>
        <v>29484</v>
      </c>
      <c r="H72" s="360">
        <f>ROUNDDOWN('料金表(税抜)'!H72*(1+$K$3),0)</f>
        <v>29528</v>
      </c>
      <c r="I72" s="360">
        <f>ROUNDDOWN('料金表(税抜)'!I72*(1+$K$3),0)</f>
        <v>29573</v>
      </c>
      <c r="J72" s="360">
        <f>ROUNDDOWN('料金表(税抜)'!J72*(1+$K$3),0)</f>
        <v>29618</v>
      </c>
      <c r="K72" s="366">
        <f>ROUNDDOWN('料金表(税抜)'!K72*(1+$K$3),0)</f>
        <v>29663</v>
      </c>
    </row>
    <row r="73" spans="1:11">
      <c r="A73" s="382">
        <v>60</v>
      </c>
      <c r="B73" s="371">
        <f>ROUNDDOWN('料金表(税抜)'!B73*(1+$K$3),0)</f>
        <v>29708</v>
      </c>
      <c r="C73" s="372">
        <f>ROUNDDOWN('料金表(税抜)'!C73*(1+$K$3),0)</f>
        <v>29753</v>
      </c>
      <c r="D73" s="372">
        <f>ROUNDDOWN('料金表(税抜)'!D73*(1+$K$3),0)</f>
        <v>29797</v>
      </c>
      <c r="E73" s="372">
        <f>ROUNDDOWN('料金表(税抜)'!E73*(1+$K$3),0)</f>
        <v>29843</v>
      </c>
      <c r="F73" s="372">
        <f>ROUNDDOWN('料金表(税抜)'!F73*(1+$K$3),0)</f>
        <v>29888</v>
      </c>
      <c r="G73" s="372">
        <f>ROUNDDOWN('料金表(税抜)'!G73*(1+$K$3),0)</f>
        <v>29933</v>
      </c>
      <c r="H73" s="372">
        <f>ROUNDDOWN('料金表(税抜)'!H73*(1+$K$3),0)</f>
        <v>29978</v>
      </c>
      <c r="I73" s="372">
        <f>ROUNDDOWN('料金表(税抜)'!I73*(1+$K$3),0)</f>
        <v>30022</v>
      </c>
      <c r="J73" s="372">
        <f>ROUNDDOWN('料金表(税抜)'!J73*(1+$K$3),0)</f>
        <v>30067</v>
      </c>
      <c r="K73" s="373">
        <f>ROUNDDOWN('料金表(税抜)'!K73*(1+$K$3),0)</f>
        <v>30112</v>
      </c>
    </row>
    <row r="74" spans="1:11">
      <c r="A74" s="379">
        <v>61</v>
      </c>
      <c r="B74" s="365">
        <f>ROUNDDOWN('料金表(税抜)'!B74*(1+$K$3),0)</f>
        <v>30157</v>
      </c>
      <c r="C74" s="360">
        <f>ROUNDDOWN('料金表(税抜)'!C74*(1+$K$3),0)</f>
        <v>30202</v>
      </c>
      <c r="D74" s="360">
        <f>ROUNDDOWN('料金表(税抜)'!D74*(1+$K$3),0)</f>
        <v>30247</v>
      </c>
      <c r="E74" s="360">
        <f>ROUNDDOWN('料金表(税抜)'!E74*(1+$K$3),0)</f>
        <v>30291</v>
      </c>
      <c r="F74" s="360">
        <f>ROUNDDOWN('料金表(税抜)'!F74*(1+$K$3),0)</f>
        <v>30336</v>
      </c>
      <c r="G74" s="360">
        <f>ROUNDDOWN('料金表(税抜)'!G74*(1+$K$3),0)</f>
        <v>30382</v>
      </c>
      <c r="H74" s="360">
        <f>ROUNDDOWN('料金表(税抜)'!H74*(1+$K$3),0)</f>
        <v>30427</v>
      </c>
      <c r="I74" s="360">
        <f>ROUNDDOWN('料金表(税抜)'!I74*(1+$K$3),0)</f>
        <v>30472</v>
      </c>
      <c r="J74" s="360">
        <f>ROUNDDOWN('料金表(税抜)'!J74*(1+$K$3),0)</f>
        <v>30516</v>
      </c>
      <c r="K74" s="366">
        <f>ROUNDDOWN('料金表(税抜)'!K74*(1+$K$3),0)</f>
        <v>30561</v>
      </c>
    </row>
    <row r="75" spans="1:11">
      <c r="A75" s="380">
        <v>62</v>
      </c>
      <c r="B75" s="365">
        <f>ROUNDDOWN('料金表(税抜)'!B75*(1+$K$3),0)</f>
        <v>30606</v>
      </c>
      <c r="C75" s="360">
        <f>ROUNDDOWN('料金表(税抜)'!C75*(1+$K$3),0)</f>
        <v>30651</v>
      </c>
      <c r="D75" s="360">
        <f>ROUNDDOWN('料金表(税抜)'!D75*(1+$K$3),0)</f>
        <v>30696</v>
      </c>
      <c r="E75" s="360">
        <f>ROUNDDOWN('料金表(税抜)'!E75*(1+$K$3),0)</f>
        <v>30741</v>
      </c>
      <c r="F75" s="360">
        <f>ROUNDDOWN('料金表(税抜)'!F75*(1+$K$3),0)</f>
        <v>30785</v>
      </c>
      <c r="G75" s="360">
        <f>ROUNDDOWN('料金表(税抜)'!G75*(1+$K$3),0)</f>
        <v>30830</v>
      </c>
      <c r="H75" s="360">
        <f>ROUNDDOWN('料金表(税抜)'!H75*(1+$K$3),0)</f>
        <v>30875</v>
      </c>
      <c r="I75" s="360">
        <f>ROUNDDOWN('料金表(税抜)'!I75*(1+$K$3),0)</f>
        <v>30921</v>
      </c>
      <c r="J75" s="360">
        <f>ROUNDDOWN('料金表(税抜)'!J75*(1+$K$3),0)</f>
        <v>30966</v>
      </c>
      <c r="K75" s="366">
        <f>ROUNDDOWN('料金表(税抜)'!K75*(1+$K$3),0)</f>
        <v>31010</v>
      </c>
    </row>
    <row r="76" spans="1:11">
      <c r="A76" s="380">
        <v>63</v>
      </c>
      <c r="B76" s="365">
        <f>ROUNDDOWN('料金表(税抜)'!B76*(1+$K$3),0)</f>
        <v>31055</v>
      </c>
      <c r="C76" s="360">
        <f>ROUNDDOWN('料金表(税抜)'!C76*(1+$K$3),0)</f>
        <v>31100</v>
      </c>
      <c r="D76" s="360">
        <f>ROUNDDOWN('料金表(税抜)'!D76*(1+$K$3),0)</f>
        <v>31145</v>
      </c>
      <c r="E76" s="360">
        <f>ROUNDDOWN('料金表(税抜)'!E76*(1+$K$3),0)</f>
        <v>31190</v>
      </c>
      <c r="F76" s="360">
        <f>ROUNDDOWN('料金表(税抜)'!F76*(1+$K$3),0)</f>
        <v>31235</v>
      </c>
      <c r="G76" s="360">
        <f>ROUNDDOWN('料金表(税抜)'!G76*(1+$K$3),0)</f>
        <v>31279</v>
      </c>
      <c r="H76" s="360">
        <f>ROUNDDOWN('料金表(税抜)'!H76*(1+$K$3),0)</f>
        <v>31324</v>
      </c>
      <c r="I76" s="360">
        <f>ROUNDDOWN('料金表(税抜)'!I76*(1+$K$3),0)</f>
        <v>31369</v>
      </c>
      <c r="J76" s="360">
        <f>ROUNDDOWN('料金表(税抜)'!J76*(1+$K$3),0)</f>
        <v>31414</v>
      </c>
      <c r="K76" s="366">
        <f>ROUNDDOWN('料金表(税抜)'!K76*(1+$K$3),0)</f>
        <v>31460</v>
      </c>
    </row>
    <row r="77" spans="1:11">
      <c r="A77" s="380">
        <v>64</v>
      </c>
      <c r="B77" s="365">
        <f>ROUNDDOWN('料金表(税抜)'!B77*(1+$K$3),0)</f>
        <v>31505</v>
      </c>
      <c r="C77" s="360">
        <f>ROUNDDOWN('料金表(税抜)'!C77*(1+$K$3),0)</f>
        <v>31549</v>
      </c>
      <c r="D77" s="360">
        <f>ROUNDDOWN('料金表(税抜)'!D77*(1+$K$3),0)</f>
        <v>31594</v>
      </c>
      <c r="E77" s="360">
        <f>ROUNDDOWN('料金表(税抜)'!E77*(1+$K$3),0)</f>
        <v>31639</v>
      </c>
      <c r="F77" s="360">
        <f>ROUNDDOWN('料金表(税抜)'!F77*(1+$K$3),0)</f>
        <v>31684</v>
      </c>
      <c r="G77" s="360">
        <f>ROUNDDOWN('料金表(税抜)'!G77*(1+$K$3),0)</f>
        <v>31729</v>
      </c>
      <c r="H77" s="360">
        <f>ROUNDDOWN('料金表(税抜)'!H77*(1+$K$3),0)</f>
        <v>31773</v>
      </c>
      <c r="I77" s="360">
        <f>ROUNDDOWN('料金表(税抜)'!I77*(1+$K$3),0)</f>
        <v>31818</v>
      </c>
      <c r="J77" s="360">
        <f>ROUNDDOWN('料金表(税抜)'!J77*(1+$K$3),0)</f>
        <v>31863</v>
      </c>
      <c r="K77" s="366">
        <f>ROUNDDOWN('料金表(税抜)'!K77*(1+$K$3),0)</f>
        <v>31908</v>
      </c>
    </row>
    <row r="78" spans="1:11">
      <c r="A78" s="382">
        <v>65</v>
      </c>
      <c r="B78" s="371">
        <f>ROUNDDOWN('料金表(税抜)'!B78*(1+$K$3),0)</f>
        <v>31953</v>
      </c>
      <c r="C78" s="372">
        <f>ROUNDDOWN('料金表(税抜)'!C78*(1+$K$3),0)</f>
        <v>31999</v>
      </c>
      <c r="D78" s="372">
        <f>ROUNDDOWN('料金表(税抜)'!D78*(1+$K$3),0)</f>
        <v>32043</v>
      </c>
      <c r="E78" s="372">
        <f>ROUNDDOWN('料金表(税抜)'!E78*(1+$K$3),0)</f>
        <v>32088</v>
      </c>
      <c r="F78" s="372">
        <f>ROUNDDOWN('料金表(税抜)'!F78*(1+$K$3),0)</f>
        <v>32133</v>
      </c>
      <c r="G78" s="372">
        <f>ROUNDDOWN('料金表(税抜)'!G78*(1+$K$3),0)</f>
        <v>32178</v>
      </c>
      <c r="H78" s="372">
        <f>ROUNDDOWN('料金表(税抜)'!H78*(1+$K$3),0)</f>
        <v>32223</v>
      </c>
      <c r="I78" s="372">
        <f>ROUNDDOWN('料金表(税抜)'!I78*(1+$K$3),0)</f>
        <v>32267</v>
      </c>
      <c r="J78" s="372">
        <f>ROUNDDOWN('料金表(税抜)'!J78*(1+$K$3),0)</f>
        <v>32312</v>
      </c>
      <c r="K78" s="373">
        <f>ROUNDDOWN('料金表(税抜)'!K78*(1+$K$3),0)</f>
        <v>32357</v>
      </c>
    </row>
    <row r="79" spans="1:11">
      <c r="A79" s="379">
        <v>66</v>
      </c>
      <c r="B79" s="365">
        <f>ROUNDDOWN('料金表(税抜)'!B79*(1+$K$3),0)</f>
        <v>32402</v>
      </c>
      <c r="C79" s="360">
        <f>ROUNDDOWN('料金表(税抜)'!C79*(1+$K$3),0)</f>
        <v>32447</v>
      </c>
      <c r="D79" s="360">
        <f>ROUNDDOWN('料金表(税抜)'!D79*(1+$K$3),0)</f>
        <v>32492</v>
      </c>
      <c r="E79" s="360">
        <f>ROUNDDOWN('料金表(税抜)'!E79*(1+$K$3),0)</f>
        <v>32536</v>
      </c>
      <c r="F79" s="360">
        <f>ROUNDDOWN('料金表(税抜)'!F79*(1+$K$3),0)</f>
        <v>32582</v>
      </c>
      <c r="G79" s="360">
        <f>ROUNDDOWN('料金表(税抜)'!G79*(1+$K$3),0)</f>
        <v>32627</v>
      </c>
      <c r="H79" s="360">
        <f>ROUNDDOWN('料金表(税抜)'!H79*(1+$K$3),0)</f>
        <v>32672</v>
      </c>
      <c r="I79" s="360">
        <f>ROUNDDOWN('料金表(税抜)'!I79*(1+$K$3),0)</f>
        <v>32717</v>
      </c>
      <c r="J79" s="360">
        <f>ROUNDDOWN('料金表(税抜)'!J79*(1+$K$3),0)</f>
        <v>32761</v>
      </c>
      <c r="K79" s="366">
        <f>ROUNDDOWN('料金表(税抜)'!K79*(1+$K$3),0)</f>
        <v>32806</v>
      </c>
    </row>
    <row r="80" spans="1:11">
      <c r="A80" s="380">
        <v>67</v>
      </c>
      <c r="B80" s="365">
        <f>ROUNDDOWN('料金表(税抜)'!B80*(1+$K$3),0)</f>
        <v>32851</v>
      </c>
      <c r="C80" s="360">
        <f>ROUNDDOWN('料金表(税抜)'!C80*(1+$K$3),0)</f>
        <v>32896</v>
      </c>
      <c r="D80" s="360">
        <f>ROUNDDOWN('料金表(税抜)'!D80*(1+$K$3),0)</f>
        <v>32941</v>
      </c>
      <c r="E80" s="360">
        <f>ROUNDDOWN('料金表(税抜)'!E80*(1+$K$3),0)</f>
        <v>32986</v>
      </c>
      <c r="F80" s="360">
        <f>ROUNDDOWN('料金表(税抜)'!F80*(1+$K$3),0)</f>
        <v>33030</v>
      </c>
      <c r="G80" s="360">
        <f>ROUNDDOWN('料金表(税抜)'!G80*(1+$K$3),0)</f>
        <v>33075</v>
      </c>
      <c r="H80" s="360">
        <f>ROUNDDOWN('料金表(税抜)'!H80*(1+$K$3),0)</f>
        <v>33121</v>
      </c>
      <c r="I80" s="360">
        <f>ROUNDDOWN('料金表(税抜)'!I80*(1+$K$3),0)</f>
        <v>33166</v>
      </c>
      <c r="J80" s="360">
        <f>ROUNDDOWN('料金表(税抜)'!J80*(1+$K$3),0)</f>
        <v>33211</v>
      </c>
      <c r="K80" s="366">
        <f>ROUNDDOWN('料金表(税抜)'!K80*(1+$K$3),0)</f>
        <v>33255</v>
      </c>
    </row>
    <row r="81" spans="1:11">
      <c r="A81" s="380">
        <v>68</v>
      </c>
      <c r="B81" s="365">
        <f>ROUNDDOWN('料金表(税抜)'!B81*(1+$K$3),0)</f>
        <v>33300</v>
      </c>
      <c r="C81" s="360">
        <f>ROUNDDOWN('料金表(税抜)'!C81*(1+$K$3),0)</f>
        <v>33345</v>
      </c>
      <c r="D81" s="360">
        <f>ROUNDDOWN('料金表(税抜)'!D81*(1+$K$3),0)</f>
        <v>33390</v>
      </c>
      <c r="E81" s="360">
        <f>ROUNDDOWN('料金表(税抜)'!E81*(1+$K$3),0)</f>
        <v>33435</v>
      </c>
      <c r="F81" s="360">
        <f>ROUNDDOWN('料金表(税抜)'!F81*(1+$K$3),0)</f>
        <v>33480</v>
      </c>
      <c r="G81" s="360">
        <f>ROUNDDOWN('料金表(税抜)'!G81*(1+$K$3),0)</f>
        <v>33524</v>
      </c>
      <c r="H81" s="360">
        <f>ROUNDDOWN('料金表(税抜)'!H81*(1+$K$3),0)</f>
        <v>33569</v>
      </c>
      <c r="I81" s="360">
        <f>ROUNDDOWN('料金表(税抜)'!I81*(1+$K$3),0)</f>
        <v>33614</v>
      </c>
      <c r="J81" s="360">
        <f>ROUNDDOWN('料金表(税抜)'!J81*(1+$K$3),0)</f>
        <v>33660</v>
      </c>
      <c r="K81" s="366">
        <f>ROUNDDOWN('料金表(税抜)'!K81*(1+$K$3),0)</f>
        <v>33705</v>
      </c>
    </row>
    <row r="82" spans="1:11">
      <c r="A82" s="380">
        <v>69</v>
      </c>
      <c r="B82" s="365">
        <f>ROUNDDOWN('料金表(税抜)'!B82*(1+$K$3),0)</f>
        <v>33750</v>
      </c>
      <c r="C82" s="360">
        <f>ROUNDDOWN('料金表(税抜)'!C82*(1+$K$3),0)</f>
        <v>33794</v>
      </c>
      <c r="D82" s="360">
        <f>ROUNDDOWN('料金表(税抜)'!D82*(1+$K$3),0)</f>
        <v>33839</v>
      </c>
      <c r="E82" s="360">
        <f>ROUNDDOWN('料金表(税抜)'!E82*(1+$K$3),0)</f>
        <v>33884</v>
      </c>
      <c r="F82" s="360">
        <f>ROUNDDOWN('料金表(税抜)'!F82*(1+$K$3),0)</f>
        <v>33929</v>
      </c>
      <c r="G82" s="360">
        <f>ROUNDDOWN('料金表(税抜)'!G82*(1+$K$3),0)</f>
        <v>33974</v>
      </c>
      <c r="H82" s="360">
        <f>ROUNDDOWN('料金表(税抜)'!H82*(1+$K$3),0)</f>
        <v>34018</v>
      </c>
      <c r="I82" s="360">
        <f>ROUNDDOWN('料金表(税抜)'!I82*(1+$K$3),0)</f>
        <v>34063</v>
      </c>
      <c r="J82" s="360">
        <f>ROUNDDOWN('料金表(税抜)'!J82*(1+$K$3),0)</f>
        <v>34108</v>
      </c>
      <c r="K82" s="366">
        <f>ROUNDDOWN('料金表(税抜)'!K82*(1+$K$3),0)</f>
        <v>34153</v>
      </c>
    </row>
    <row r="83" spans="1:11">
      <c r="A83" s="382">
        <v>70</v>
      </c>
      <c r="B83" s="371">
        <f>ROUNDDOWN('料金表(税抜)'!B83*(1+$K$3),0)</f>
        <v>34199</v>
      </c>
      <c r="C83" s="372">
        <f>ROUNDDOWN('料金表(税抜)'!C83*(1+$K$3),0)</f>
        <v>34244</v>
      </c>
      <c r="D83" s="372">
        <f>ROUNDDOWN('料金表(税抜)'!D83*(1+$K$3),0)</f>
        <v>34288</v>
      </c>
      <c r="E83" s="372">
        <f>ROUNDDOWN('料金表(税抜)'!E83*(1+$K$3),0)</f>
        <v>34333</v>
      </c>
      <c r="F83" s="372">
        <f>ROUNDDOWN('料金表(税抜)'!F83*(1+$K$3),0)</f>
        <v>34378</v>
      </c>
      <c r="G83" s="372">
        <f>ROUNDDOWN('料金表(税抜)'!G83*(1+$K$3),0)</f>
        <v>34423</v>
      </c>
      <c r="H83" s="372">
        <f>ROUNDDOWN('料金表(税抜)'!H83*(1+$K$3),0)</f>
        <v>34468</v>
      </c>
      <c r="I83" s="372">
        <f>ROUNDDOWN('料金表(税抜)'!I83*(1+$K$3),0)</f>
        <v>34512</v>
      </c>
      <c r="J83" s="372">
        <f>ROUNDDOWN('料金表(税抜)'!J83*(1+$K$3),0)</f>
        <v>34557</v>
      </c>
      <c r="K83" s="373">
        <f>ROUNDDOWN('料金表(税抜)'!K83*(1+$K$3),0)</f>
        <v>34602</v>
      </c>
    </row>
    <row r="84" spans="1:11">
      <c r="A84" s="379">
        <v>71</v>
      </c>
      <c r="B84" s="365">
        <f>ROUNDDOWN('料金表(税抜)'!B84*(1+$K$3),0)</f>
        <v>34647</v>
      </c>
      <c r="C84" s="360">
        <f>ROUNDDOWN('料金表(税抜)'!C84*(1+$K$3),0)</f>
        <v>34692</v>
      </c>
      <c r="D84" s="360">
        <f>ROUNDDOWN('料金表(税抜)'!D84*(1+$K$3),0)</f>
        <v>34738</v>
      </c>
      <c r="E84" s="360">
        <f>ROUNDDOWN('料金表(税抜)'!E84*(1+$K$3),0)</f>
        <v>34782</v>
      </c>
      <c r="F84" s="360">
        <f>ROUNDDOWN('料金表(税抜)'!F84*(1+$K$3),0)</f>
        <v>34827</v>
      </c>
      <c r="G84" s="360">
        <f>ROUNDDOWN('料金表(税抜)'!G84*(1+$K$3),0)</f>
        <v>34872</v>
      </c>
      <c r="H84" s="360">
        <f>ROUNDDOWN('料金表(税抜)'!H84*(1+$K$3),0)</f>
        <v>34917</v>
      </c>
      <c r="I84" s="360">
        <f>ROUNDDOWN('料金表(税抜)'!I84*(1+$K$3),0)</f>
        <v>34962</v>
      </c>
      <c r="J84" s="360">
        <f>ROUNDDOWN('料金表(税抜)'!J84*(1+$K$3),0)</f>
        <v>35006</v>
      </c>
      <c r="K84" s="366">
        <f>ROUNDDOWN('料金表(税抜)'!K84*(1+$K$3),0)</f>
        <v>35051</v>
      </c>
    </row>
    <row r="85" spans="1:11">
      <c r="A85" s="380">
        <v>72</v>
      </c>
      <c r="B85" s="365">
        <f>ROUNDDOWN('料金表(税抜)'!B85*(1+$K$3),0)</f>
        <v>35096</v>
      </c>
      <c r="C85" s="360">
        <f>ROUNDDOWN('料金表(税抜)'!C85*(1+$K$3),0)</f>
        <v>35141</v>
      </c>
      <c r="D85" s="360">
        <f>ROUNDDOWN('料金表(税抜)'!D85*(1+$K$3),0)</f>
        <v>35186</v>
      </c>
      <c r="E85" s="360">
        <f>ROUNDDOWN('料金表(税抜)'!E85*(1+$K$3),0)</f>
        <v>35231</v>
      </c>
      <c r="F85" s="360">
        <f>ROUNDDOWN('料金表(税抜)'!F85*(1+$K$3),0)</f>
        <v>35275</v>
      </c>
      <c r="G85" s="360">
        <f>ROUNDDOWN('料金表(税抜)'!G85*(1+$K$3),0)</f>
        <v>35321</v>
      </c>
      <c r="H85" s="360">
        <f>ROUNDDOWN('料金表(税抜)'!H85*(1+$K$3),0)</f>
        <v>35366</v>
      </c>
      <c r="I85" s="360">
        <f>ROUNDDOWN('料金表(税抜)'!I85*(1+$K$3),0)</f>
        <v>35411</v>
      </c>
      <c r="J85" s="360">
        <f>ROUNDDOWN('料金表(税抜)'!J85*(1+$K$3),0)</f>
        <v>35456</v>
      </c>
      <c r="K85" s="366">
        <f>ROUNDDOWN('料金表(税抜)'!K85*(1+$K$3),0)</f>
        <v>35500</v>
      </c>
    </row>
    <row r="86" spans="1:11">
      <c r="A86" s="380">
        <v>73</v>
      </c>
      <c r="B86" s="365">
        <f>ROUNDDOWN('料金表(税抜)'!B86*(1+$K$3),0)</f>
        <v>35545</v>
      </c>
      <c r="C86" s="360">
        <f>ROUNDDOWN('料金表(税抜)'!C86*(1+$K$3),0)</f>
        <v>35590</v>
      </c>
      <c r="D86" s="360">
        <f>ROUNDDOWN('料金表(税抜)'!D86*(1+$K$3),0)</f>
        <v>35635</v>
      </c>
      <c r="E86" s="360">
        <f>ROUNDDOWN('料金表(税抜)'!E86*(1+$K$3),0)</f>
        <v>35680</v>
      </c>
      <c r="F86" s="360">
        <f>ROUNDDOWN('料金表(税抜)'!F86*(1+$K$3),0)</f>
        <v>35725</v>
      </c>
      <c r="G86" s="360">
        <f>ROUNDDOWN('料金表(税抜)'!G86*(1+$K$3),0)</f>
        <v>35769</v>
      </c>
      <c r="H86" s="360">
        <f>ROUNDDOWN('料金表(税抜)'!H86*(1+$K$3),0)</f>
        <v>35814</v>
      </c>
      <c r="I86" s="360">
        <f>ROUNDDOWN('料金表(税抜)'!I86*(1+$K$3),0)</f>
        <v>35860</v>
      </c>
      <c r="J86" s="360">
        <f>ROUNDDOWN('料金表(税抜)'!J86*(1+$K$3),0)</f>
        <v>35905</v>
      </c>
      <c r="K86" s="366">
        <f>ROUNDDOWN('料金表(税抜)'!K86*(1+$K$3),0)</f>
        <v>35950</v>
      </c>
    </row>
    <row r="87" spans="1:11">
      <c r="A87" s="380">
        <v>74</v>
      </c>
      <c r="B87" s="365">
        <f>ROUNDDOWN('料金表(税抜)'!B87*(1+$K$3),0)</f>
        <v>35995</v>
      </c>
      <c r="C87" s="360">
        <f>ROUNDDOWN('料金表(税抜)'!C87*(1+$K$3),0)</f>
        <v>36039</v>
      </c>
      <c r="D87" s="360">
        <f>ROUNDDOWN('料金表(税抜)'!D87*(1+$K$3),0)</f>
        <v>36084</v>
      </c>
      <c r="E87" s="360">
        <f>ROUNDDOWN('料金表(税抜)'!E87*(1+$K$3),0)</f>
        <v>36129</v>
      </c>
      <c r="F87" s="360">
        <f>ROUNDDOWN('料金表(税抜)'!F87*(1+$K$3),0)</f>
        <v>36174</v>
      </c>
      <c r="G87" s="360">
        <f>ROUNDDOWN('料金表(税抜)'!G87*(1+$K$3),0)</f>
        <v>36219</v>
      </c>
      <c r="H87" s="360">
        <f>ROUNDDOWN('料金表(税抜)'!H87*(1+$K$3),0)</f>
        <v>36263</v>
      </c>
      <c r="I87" s="360">
        <f>ROUNDDOWN('料金表(税抜)'!I87*(1+$K$3),0)</f>
        <v>36308</v>
      </c>
      <c r="J87" s="360">
        <f>ROUNDDOWN('料金表(税抜)'!J87*(1+$K$3),0)</f>
        <v>36353</v>
      </c>
      <c r="K87" s="366">
        <f>ROUNDDOWN('料金表(税抜)'!K87*(1+$K$3),0)</f>
        <v>36399</v>
      </c>
    </row>
    <row r="88" spans="1:11">
      <c r="A88" s="382">
        <v>75</v>
      </c>
      <c r="B88" s="371">
        <f>ROUNDDOWN('料金表(税抜)'!B88*(1+$K$3),0)</f>
        <v>36444</v>
      </c>
      <c r="C88" s="372">
        <f>ROUNDDOWN('料金表(税抜)'!C88*(1+$K$3),0)</f>
        <v>36489</v>
      </c>
      <c r="D88" s="372">
        <f>ROUNDDOWN('料金表(税抜)'!D88*(1+$K$3),0)</f>
        <v>36533</v>
      </c>
      <c r="E88" s="372">
        <f>ROUNDDOWN('料金表(税抜)'!E88*(1+$K$3),0)</f>
        <v>36578</v>
      </c>
      <c r="F88" s="372">
        <f>ROUNDDOWN('料金表(税抜)'!F88*(1+$K$3),0)</f>
        <v>36623</v>
      </c>
      <c r="G88" s="372">
        <f>ROUNDDOWN('料金表(税抜)'!G88*(1+$K$3),0)</f>
        <v>36668</v>
      </c>
      <c r="H88" s="372">
        <f>ROUNDDOWN('料金表(税抜)'!H88*(1+$K$3),0)</f>
        <v>36713</v>
      </c>
      <c r="I88" s="372">
        <f>ROUNDDOWN('料金表(税抜)'!I88*(1+$K$3),0)</f>
        <v>36757</v>
      </c>
      <c r="J88" s="372">
        <f>ROUNDDOWN('料金表(税抜)'!J88*(1+$K$3),0)</f>
        <v>36802</v>
      </c>
      <c r="K88" s="373">
        <f>ROUNDDOWN('料金表(税抜)'!K88*(1+$K$3),0)</f>
        <v>36847</v>
      </c>
    </row>
    <row r="89" spans="1:11">
      <c r="A89" s="379">
        <v>76</v>
      </c>
      <c r="B89" s="365">
        <f>ROUNDDOWN('料金表(税抜)'!B89*(1+$K$3),0)</f>
        <v>36892</v>
      </c>
      <c r="C89" s="360">
        <f>ROUNDDOWN('料金表(税抜)'!C89*(1+$K$3),0)</f>
        <v>36938</v>
      </c>
      <c r="D89" s="360">
        <f>ROUNDDOWN('料金表(税抜)'!D89*(1+$K$3),0)</f>
        <v>36983</v>
      </c>
      <c r="E89" s="360">
        <f>ROUNDDOWN('料金表(税抜)'!E89*(1+$K$3),0)</f>
        <v>37027</v>
      </c>
      <c r="F89" s="360">
        <f>ROUNDDOWN('料金表(税抜)'!F89*(1+$K$3),0)</f>
        <v>37072</v>
      </c>
      <c r="G89" s="360">
        <f>ROUNDDOWN('料金表(税抜)'!G89*(1+$K$3),0)</f>
        <v>37117</v>
      </c>
      <c r="H89" s="360">
        <f>ROUNDDOWN('料金表(税抜)'!H89*(1+$K$3),0)</f>
        <v>37162</v>
      </c>
      <c r="I89" s="360">
        <f>ROUNDDOWN('料金表(税抜)'!I89*(1+$K$3),0)</f>
        <v>37207</v>
      </c>
      <c r="J89" s="360">
        <f>ROUNDDOWN('料金表(税抜)'!J89*(1+$K$3),0)</f>
        <v>37251</v>
      </c>
      <c r="K89" s="366">
        <f>ROUNDDOWN('料金表(税抜)'!K89*(1+$K$3),0)</f>
        <v>37296</v>
      </c>
    </row>
    <row r="90" spans="1:11">
      <c r="A90" s="380">
        <v>77</v>
      </c>
      <c r="B90" s="365">
        <f>ROUNDDOWN('料金表(税抜)'!B90*(1+$K$3),0)</f>
        <v>37341</v>
      </c>
      <c r="C90" s="360">
        <f>ROUNDDOWN('料金表(税抜)'!C90*(1+$K$3),0)</f>
        <v>37386</v>
      </c>
      <c r="D90" s="360">
        <f>ROUNDDOWN('料金表(税抜)'!D90*(1+$K$3),0)</f>
        <v>37431</v>
      </c>
      <c r="E90" s="360">
        <f>ROUNDDOWN('料金表(税抜)'!E90*(1+$K$3),0)</f>
        <v>37477</v>
      </c>
      <c r="F90" s="360">
        <f>ROUNDDOWN('料金表(税抜)'!F90*(1+$K$3),0)</f>
        <v>37521</v>
      </c>
      <c r="G90" s="360">
        <f>ROUNDDOWN('料金表(税抜)'!G90*(1+$K$3),0)</f>
        <v>37566</v>
      </c>
      <c r="H90" s="360">
        <f>ROUNDDOWN('料金表(税抜)'!H90*(1+$K$3),0)</f>
        <v>37611</v>
      </c>
      <c r="I90" s="360">
        <f>ROUNDDOWN('料金表(税抜)'!I90*(1+$K$3),0)</f>
        <v>37656</v>
      </c>
      <c r="J90" s="360">
        <f>ROUNDDOWN('料金表(税抜)'!J90*(1+$K$3),0)</f>
        <v>37701</v>
      </c>
      <c r="K90" s="366">
        <f>ROUNDDOWN('料金表(税抜)'!K90*(1+$K$3),0)</f>
        <v>37745</v>
      </c>
    </row>
    <row r="91" spans="1:11">
      <c r="A91" s="380">
        <v>78</v>
      </c>
      <c r="B91" s="365">
        <f>ROUNDDOWN('料金表(税抜)'!B91*(1+$K$3),0)</f>
        <v>37790</v>
      </c>
      <c r="C91" s="360">
        <f>ROUNDDOWN('料金表(税抜)'!C91*(1+$K$3),0)</f>
        <v>37835</v>
      </c>
      <c r="D91" s="360">
        <f>ROUNDDOWN('料金表(税抜)'!D91*(1+$K$3),0)</f>
        <v>37880</v>
      </c>
      <c r="E91" s="360">
        <f>ROUNDDOWN('料金表(税抜)'!E91*(1+$K$3),0)</f>
        <v>37925</v>
      </c>
      <c r="F91" s="360">
        <f>ROUNDDOWN('料金表(税抜)'!F91*(1+$K$3),0)</f>
        <v>37970</v>
      </c>
      <c r="G91" s="360">
        <f>ROUNDDOWN('料金表(税抜)'!G91*(1+$K$3),0)</f>
        <v>38014</v>
      </c>
      <c r="H91" s="360">
        <f>ROUNDDOWN('料金表(税抜)'!H91*(1+$K$3),0)</f>
        <v>38060</v>
      </c>
      <c r="I91" s="360">
        <f>ROUNDDOWN('料金表(税抜)'!I91*(1+$K$3),0)</f>
        <v>38105</v>
      </c>
      <c r="J91" s="360">
        <f>ROUNDDOWN('料金表(税抜)'!J91*(1+$K$3),0)</f>
        <v>38150</v>
      </c>
      <c r="K91" s="366">
        <f>ROUNDDOWN('料金表(税抜)'!K91*(1+$K$3),0)</f>
        <v>38195</v>
      </c>
    </row>
    <row r="92" spans="1:11">
      <c r="A92" s="380">
        <v>79</v>
      </c>
      <c r="B92" s="365">
        <f>ROUNDDOWN('料金表(税抜)'!B92*(1+$K$3),0)</f>
        <v>38240</v>
      </c>
      <c r="C92" s="360">
        <f>ROUNDDOWN('料金表(税抜)'!C92*(1+$K$3),0)</f>
        <v>38284</v>
      </c>
      <c r="D92" s="360">
        <f>ROUNDDOWN('料金表(税抜)'!D92*(1+$K$3),0)</f>
        <v>38329</v>
      </c>
      <c r="E92" s="360">
        <f>ROUNDDOWN('料金表(税抜)'!E92*(1+$K$3),0)</f>
        <v>38374</v>
      </c>
      <c r="F92" s="360">
        <f>ROUNDDOWN('料金表(税抜)'!F92*(1+$K$3),0)</f>
        <v>38419</v>
      </c>
      <c r="G92" s="360">
        <f>ROUNDDOWN('料金表(税抜)'!G92*(1+$K$3),0)</f>
        <v>38464</v>
      </c>
      <c r="H92" s="360">
        <f>ROUNDDOWN('料金表(税抜)'!H92*(1+$K$3),0)</f>
        <v>38508</v>
      </c>
      <c r="I92" s="360">
        <f>ROUNDDOWN('料金表(税抜)'!I92*(1+$K$3),0)</f>
        <v>38553</v>
      </c>
      <c r="J92" s="360">
        <f>ROUNDDOWN('料金表(税抜)'!J92*(1+$K$3),0)</f>
        <v>38599</v>
      </c>
      <c r="K92" s="366">
        <f>ROUNDDOWN('料金表(税抜)'!K92*(1+$K$3),0)</f>
        <v>38644</v>
      </c>
    </row>
    <row r="93" spans="1:11">
      <c r="A93" s="382">
        <v>80</v>
      </c>
      <c r="B93" s="371">
        <f>ROUNDDOWN('料金表(税抜)'!B93*(1+$K$3),0)</f>
        <v>38689</v>
      </c>
      <c r="C93" s="372">
        <f>ROUNDDOWN('料金表(税抜)'!C93*(1+$K$3),0)</f>
        <v>38734</v>
      </c>
      <c r="D93" s="372">
        <f>ROUNDDOWN('料金表(税抜)'!D93*(1+$K$3),0)</f>
        <v>38778</v>
      </c>
      <c r="E93" s="372">
        <f>ROUNDDOWN('料金表(税抜)'!E93*(1+$K$3),0)</f>
        <v>38823</v>
      </c>
      <c r="F93" s="372">
        <f>ROUNDDOWN('料金表(税抜)'!F93*(1+$K$3),0)</f>
        <v>38868</v>
      </c>
      <c r="G93" s="372">
        <f>ROUNDDOWN('料金表(税抜)'!G93*(1+$K$3),0)</f>
        <v>38913</v>
      </c>
      <c r="H93" s="372">
        <f>ROUNDDOWN('料金表(税抜)'!H93*(1+$K$3),0)</f>
        <v>38958</v>
      </c>
      <c r="I93" s="372">
        <f>ROUNDDOWN('料金表(税抜)'!I93*(1+$K$3),0)</f>
        <v>39002</v>
      </c>
      <c r="J93" s="372">
        <f>ROUNDDOWN('料金表(税抜)'!J93*(1+$K$3),0)</f>
        <v>39047</v>
      </c>
      <c r="K93" s="373">
        <f>ROUNDDOWN('料金表(税抜)'!K93*(1+$K$3),0)</f>
        <v>39092</v>
      </c>
    </row>
    <row r="94" spans="1:11">
      <c r="A94" s="379">
        <v>81</v>
      </c>
      <c r="B94" s="365">
        <f>ROUNDDOWN('料金表(税抜)'!B94*(1+$K$3),0)</f>
        <v>39138</v>
      </c>
      <c r="C94" s="360">
        <f>ROUNDDOWN('料金表(税抜)'!C94*(1+$K$3),0)</f>
        <v>39183</v>
      </c>
      <c r="D94" s="360">
        <f>ROUNDDOWN('料金表(税抜)'!D94*(1+$K$3),0)</f>
        <v>39228</v>
      </c>
      <c r="E94" s="360">
        <f>ROUNDDOWN('料金表(税抜)'!E94*(1+$K$3),0)</f>
        <v>39272</v>
      </c>
      <c r="F94" s="360">
        <f>ROUNDDOWN('料金表(税抜)'!F94*(1+$K$3),0)</f>
        <v>39317</v>
      </c>
      <c r="G94" s="360">
        <f>ROUNDDOWN('料金表(税抜)'!G94*(1+$K$3),0)</f>
        <v>39362</v>
      </c>
      <c r="H94" s="360">
        <f>ROUNDDOWN('料金表(税抜)'!H94*(1+$K$3),0)</f>
        <v>39407</v>
      </c>
      <c r="I94" s="360">
        <f>ROUNDDOWN('料金表(税抜)'!I94*(1+$K$3),0)</f>
        <v>39452</v>
      </c>
      <c r="J94" s="360">
        <f>ROUNDDOWN('料金表(税抜)'!J94*(1+$K$3),0)</f>
        <v>39496</v>
      </c>
      <c r="K94" s="366">
        <f>ROUNDDOWN('料金表(税抜)'!K94*(1+$K$3),0)</f>
        <v>39541</v>
      </c>
    </row>
    <row r="95" spans="1:11">
      <c r="A95" s="380">
        <v>82</v>
      </c>
      <c r="B95" s="365">
        <f>ROUNDDOWN('料金表(税抜)'!B95*(1+$K$3),0)</f>
        <v>39586</v>
      </c>
      <c r="C95" s="360">
        <f>ROUNDDOWN('料金表(税抜)'!C95*(1+$K$3),0)</f>
        <v>39631</v>
      </c>
      <c r="D95" s="360">
        <f>ROUNDDOWN('料金表(税抜)'!D95*(1+$K$3),0)</f>
        <v>39677</v>
      </c>
      <c r="E95" s="360">
        <f>ROUNDDOWN('料金表(税抜)'!E95*(1+$K$3),0)</f>
        <v>39722</v>
      </c>
      <c r="F95" s="360">
        <f>ROUNDDOWN('料金表(税抜)'!F95*(1+$K$3),0)</f>
        <v>39766</v>
      </c>
      <c r="G95" s="360">
        <f>ROUNDDOWN('料金表(税抜)'!G95*(1+$K$3),0)</f>
        <v>39811</v>
      </c>
      <c r="H95" s="360">
        <f>ROUNDDOWN('料金表(税抜)'!H95*(1+$K$3),0)</f>
        <v>39856</v>
      </c>
      <c r="I95" s="360">
        <f>ROUNDDOWN('料金表(税抜)'!I95*(1+$K$3),0)</f>
        <v>39901</v>
      </c>
      <c r="J95" s="360">
        <f>ROUNDDOWN('料金表(税抜)'!J95*(1+$K$3),0)</f>
        <v>39946</v>
      </c>
      <c r="K95" s="366">
        <f>ROUNDDOWN('料金表(税抜)'!K95*(1+$K$3),0)</f>
        <v>39990</v>
      </c>
    </row>
    <row r="96" spans="1:11">
      <c r="A96" s="380">
        <v>83</v>
      </c>
      <c r="B96" s="365">
        <f>ROUNDDOWN('料金表(税抜)'!B96*(1+$K$3),0)</f>
        <v>40035</v>
      </c>
      <c r="C96" s="360">
        <f>ROUNDDOWN('料金表(税抜)'!C96*(1+$K$3),0)</f>
        <v>40080</v>
      </c>
      <c r="D96" s="360">
        <f>ROUNDDOWN('料金表(税抜)'!D96*(1+$K$3),0)</f>
        <v>40125</v>
      </c>
      <c r="E96" s="360">
        <f>ROUNDDOWN('料金表(税抜)'!E96*(1+$K$3),0)</f>
        <v>40170</v>
      </c>
      <c r="F96" s="360">
        <f>ROUNDDOWN('料金表(税抜)'!F96*(1+$K$3),0)</f>
        <v>40216</v>
      </c>
      <c r="G96" s="360">
        <f>ROUNDDOWN('料金表(税抜)'!G96*(1+$K$3),0)</f>
        <v>40260</v>
      </c>
      <c r="H96" s="360">
        <f>ROUNDDOWN('料金表(税抜)'!H96*(1+$K$3),0)</f>
        <v>40305</v>
      </c>
      <c r="I96" s="360">
        <f>ROUNDDOWN('料金表(税抜)'!I96*(1+$K$3),0)</f>
        <v>40350</v>
      </c>
      <c r="J96" s="360">
        <f>ROUNDDOWN('料金表(税抜)'!J96*(1+$K$3),0)</f>
        <v>40395</v>
      </c>
      <c r="K96" s="366">
        <f>ROUNDDOWN('料金表(税抜)'!K96*(1+$K$3),0)</f>
        <v>40440</v>
      </c>
    </row>
    <row r="97" spans="1:11">
      <c r="A97" s="380">
        <v>84</v>
      </c>
      <c r="B97" s="365">
        <f>ROUNDDOWN('料金表(税抜)'!B97*(1+$K$3),0)</f>
        <v>40485</v>
      </c>
      <c r="C97" s="360">
        <f>ROUNDDOWN('料金表(税抜)'!C97*(1+$K$3),0)</f>
        <v>40529</v>
      </c>
      <c r="D97" s="360">
        <f>ROUNDDOWN('料金表(税抜)'!D97*(1+$K$3),0)</f>
        <v>40574</v>
      </c>
      <c r="E97" s="360">
        <f>ROUNDDOWN('料金表(税抜)'!E97*(1+$K$3),0)</f>
        <v>40619</v>
      </c>
      <c r="F97" s="360">
        <f>ROUNDDOWN('料金表(税抜)'!F97*(1+$K$3),0)</f>
        <v>40664</v>
      </c>
      <c r="G97" s="360">
        <f>ROUNDDOWN('料金表(税抜)'!G97*(1+$K$3),0)</f>
        <v>40709</v>
      </c>
      <c r="H97" s="360">
        <f>ROUNDDOWN('料金表(税抜)'!H97*(1+$K$3),0)</f>
        <v>40753</v>
      </c>
      <c r="I97" s="360">
        <f>ROUNDDOWN('料金表(税抜)'!I97*(1+$K$3),0)</f>
        <v>40799</v>
      </c>
      <c r="J97" s="360">
        <f>ROUNDDOWN('料金表(税抜)'!J97*(1+$K$3),0)</f>
        <v>40844</v>
      </c>
      <c r="K97" s="366">
        <f>ROUNDDOWN('料金表(税抜)'!K97*(1+$K$3),0)</f>
        <v>40889</v>
      </c>
    </row>
    <row r="98" spans="1:11">
      <c r="A98" s="382">
        <v>85</v>
      </c>
      <c r="B98" s="371">
        <f>ROUNDDOWN('料金表(税抜)'!B98*(1+$K$3),0)</f>
        <v>40934</v>
      </c>
      <c r="C98" s="372">
        <f>ROUNDDOWN('料金表(税抜)'!C98*(1+$K$3),0)</f>
        <v>40979</v>
      </c>
      <c r="D98" s="372">
        <f>ROUNDDOWN('料金表(税抜)'!D98*(1+$K$3),0)</f>
        <v>41023</v>
      </c>
      <c r="E98" s="372">
        <f>ROUNDDOWN('料金表(税抜)'!E98*(1+$K$3),0)</f>
        <v>41068</v>
      </c>
      <c r="F98" s="372">
        <f>ROUNDDOWN('料金表(税抜)'!F98*(1+$K$3),0)</f>
        <v>41113</v>
      </c>
      <c r="G98" s="372">
        <f>ROUNDDOWN('料金表(税抜)'!G98*(1+$K$3),0)</f>
        <v>41158</v>
      </c>
      <c r="H98" s="372">
        <f>ROUNDDOWN('料金表(税抜)'!H98*(1+$K$3),0)</f>
        <v>41203</v>
      </c>
      <c r="I98" s="372">
        <f>ROUNDDOWN('料金表(税抜)'!I98*(1+$K$3),0)</f>
        <v>41247</v>
      </c>
      <c r="J98" s="372">
        <f>ROUNDDOWN('料金表(税抜)'!J98*(1+$K$3),0)</f>
        <v>41292</v>
      </c>
      <c r="K98" s="373">
        <f>ROUNDDOWN('料金表(税抜)'!K98*(1+$K$3),0)</f>
        <v>41338</v>
      </c>
    </row>
    <row r="99" spans="1:11">
      <c r="A99" s="379">
        <v>86</v>
      </c>
      <c r="B99" s="365">
        <f>ROUNDDOWN('料金表(税抜)'!B99*(1+$K$3),0)</f>
        <v>41383</v>
      </c>
      <c r="C99" s="360">
        <f>ROUNDDOWN('料金表(税抜)'!C99*(1+$K$3),0)</f>
        <v>41428</v>
      </c>
      <c r="D99" s="360">
        <f>ROUNDDOWN('料金表(税抜)'!D99*(1+$K$3),0)</f>
        <v>41473</v>
      </c>
      <c r="E99" s="360">
        <f>ROUNDDOWN('料金表(税抜)'!E99*(1+$K$3),0)</f>
        <v>41517</v>
      </c>
      <c r="F99" s="360">
        <f>ROUNDDOWN('料金表(税抜)'!F99*(1+$K$3),0)</f>
        <v>41562</v>
      </c>
      <c r="G99" s="360">
        <f>ROUNDDOWN('料金表(税抜)'!G99*(1+$K$3),0)</f>
        <v>41607</v>
      </c>
      <c r="H99" s="360">
        <f>ROUNDDOWN('料金表(税抜)'!H99*(1+$K$3),0)</f>
        <v>41652</v>
      </c>
      <c r="I99" s="360">
        <f>ROUNDDOWN('料金表(税抜)'!I99*(1+$K$3),0)</f>
        <v>41697</v>
      </c>
      <c r="J99" s="360">
        <f>ROUNDDOWN('料金表(税抜)'!J99*(1+$K$3),0)</f>
        <v>41741</v>
      </c>
      <c r="K99" s="366">
        <f>ROUNDDOWN('料金表(税抜)'!K99*(1+$K$3),0)</f>
        <v>41786</v>
      </c>
    </row>
    <row r="100" spans="1:11">
      <c r="A100" s="380">
        <v>87</v>
      </c>
      <c r="B100" s="365">
        <f>ROUNDDOWN('料金表(税抜)'!B100*(1+$K$3),0)</f>
        <v>41831</v>
      </c>
      <c r="C100" s="360">
        <f>ROUNDDOWN('料金表(税抜)'!C100*(1+$K$3),0)</f>
        <v>41877</v>
      </c>
      <c r="D100" s="360">
        <f>ROUNDDOWN('料金表(税抜)'!D100*(1+$K$3),0)</f>
        <v>41922</v>
      </c>
      <c r="E100" s="360">
        <f>ROUNDDOWN('料金表(税抜)'!E100*(1+$K$3),0)</f>
        <v>41967</v>
      </c>
      <c r="F100" s="360">
        <f>ROUNDDOWN('料金表(税抜)'!F100*(1+$K$3),0)</f>
        <v>42011</v>
      </c>
      <c r="G100" s="360">
        <f>ROUNDDOWN('料金表(税抜)'!G100*(1+$K$3),0)</f>
        <v>42056</v>
      </c>
      <c r="H100" s="360">
        <f>ROUNDDOWN('料金表(税抜)'!H100*(1+$K$3),0)</f>
        <v>42101</v>
      </c>
      <c r="I100" s="360">
        <f>ROUNDDOWN('料金表(税抜)'!I100*(1+$K$3),0)</f>
        <v>42146</v>
      </c>
      <c r="J100" s="360">
        <f>ROUNDDOWN('料金表(税抜)'!J100*(1+$K$3),0)</f>
        <v>42191</v>
      </c>
      <c r="K100" s="366">
        <f>ROUNDDOWN('料金表(税抜)'!K100*(1+$K$3),0)</f>
        <v>42235</v>
      </c>
    </row>
    <row r="101" spans="1:11">
      <c r="A101" s="380">
        <v>88</v>
      </c>
      <c r="B101" s="365">
        <f>ROUNDDOWN('料金表(税抜)'!B101*(1+$K$3),0)</f>
        <v>42280</v>
      </c>
      <c r="C101" s="360">
        <f>ROUNDDOWN('料金表(税抜)'!C101*(1+$K$3),0)</f>
        <v>42325</v>
      </c>
      <c r="D101" s="360">
        <f>ROUNDDOWN('料金表(税抜)'!D101*(1+$K$3),0)</f>
        <v>42370</v>
      </c>
      <c r="E101" s="360">
        <f>ROUNDDOWN('料金表(税抜)'!E101*(1+$K$3),0)</f>
        <v>42416</v>
      </c>
      <c r="F101" s="360">
        <f>ROUNDDOWN('料金表(税抜)'!F101*(1+$K$3),0)</f>
        <v>42461</v>
      </c>
      <c r="G101" s="360">
        <f>ROUNDDOWN('料金表(税抜)'!G101*(1+$K$3),0)</f>
        <v>42505</v>
      </c>
      <c r="H101" s="360">
        <f>ROUNDDOWN('料金表(税抜)'!H101*(1+$K$3),0)</f>
        <v>42550</v>
      </c>
      <c r="I101" s="360">
        <f>ROUNDDOWN('料金表(税抜)'!I101*(1+$K$3),0)</f>
        <v>42595</v>
      </c>
      <c r="J101" s="360">
        <f>ROUNDDOWN('料金表(税抜)'!J101*(1+$K$3),0)</f>
        <v>42640</v>
      </c>
      <c r="K101" s="366">
        <f>ROUNDDOWN('料金表(税抜)'!K101*(1+$K$3),0)</f>
        <v>42685</v>
      </c>
    </row>
    <row r="102" spans="1:11">
      <c r="A102" s="380">
        <v>89</v>
      </c>
      <c r="B102" s="365">
        <f>ROUNDDOWN('料金表(税抜)'!B102*(1+$K$3),0)</f>
        <v>42730</v>
      </c>
      <c r="C102" s="360">
        <f>ROUNDDOWN('料金表(税抜)'!C102*(1+$K$3),0)</f>
        <v>42774</v>
      </c>
      <c r="D102" s="360">
        <f>ROUNDDOWN('料金表(税抜)'!D102*(1+$K$3),0)</f>
        <v>42819</v>
      </c>
      <c r="E102" s="360">
        <f>ROUNDDOWN('料金表(税抜)'!E102*(1+$K$3),0)</f>
        <v>42864</v>
      </c>
      <c r="F102" s="360">
        <f>ROUNDDOWN('料金表(税抜)'!F102*(1+$K$3),0)</f>
        <v>42909</v>
      </c>
      <c r="G102" s="360">
        <f>ROUNDDOWN('料金表(税抜)'!G102*(1+$K$3),0)</f>
        <v>42955</v>
      </c>
      <c r="H102" s="360">
        <f>ROUNDDOWN('料金表(税抜)'!H102*(1+$K$3),0)</f>
        <v>42999</v>
      </c>
      <c r="I102" s="360">
        <f>ROUNDDOWN('料金表(税抜)'!I102*(1+$K$3),0)</f>
        <v>43044</v>
      </c>
      <c r="J102" s="360">
        <f>ROUNDDOWN('料金表(税抜)'!J102*(1+$K$3),0)</f>
        <v>43089</v>
      </c>
      <c r="K102" s="366">
        <f>ROUNDDOWN('料金表(税抜)'!K102*(1+$K$3),0)</f>
        <v>43134</v>
      </c>
    </row>
    <row r="103" spans="1:11">
      <c r="A103" s="382">
        <v>90</v>
      </c>
      <c r="B103" s="371">
        <f>ROUNDDOWN('料金表(税抜)'!B103*(1+$K$3),0)</f>
        <v>43179</v>
      </c>
      <c r="C103" s="372">
        <f>ROUNDDOWN('料金表(税抜)'!C103*(1+$K$3),0)</f>
        <v>43224</v>
      </c>
      <c r="D103" s="372">
        <f>ROUNDDOWN('料金表(税抜)'!D103*(1+$K$3),0)</f>
        <v>43268</v>
      </c>
      <c r="E103" s="372">
        <f>ROUNDDOWN('料金表(税抜)'!E103*(1+$K$3),0)</f>
        <v>43313</v>
      </c>
      <c r="F103" s="372">
        <f>ROUNDDOWN('料金表(税抜)'!F103*(1+$K$3),0)</f>
        <v>43358</v>
      </c>
      <c r="G103" s="372">
        <f>ROUNDDOWN('料金表(税抜)'!G103*(1+$K$3),0)</f>
        <v>43403</v>
      </c>
      <c r="H103" s="372">
        <f>ROUNDDOWN('料金表(税抜)'!H103*(1+$K$3),0)</f>
        <v>43448</v>
      </c>
      <c r="I103" s="372">
        <f>ROUNDDOWN('料金表(税抜)'!I103*(1+$K$3),0)</f>
        <v>43492</v>
      </c>
      <c r="J103" s="372">
        <f>ROUNDDOWN('料金表(税抜)'!J103*(1+$K$3),0)</f>
        <v>43538</v>
      </c>
      <c r="K103" s="373">
        <f>ROUNDDOWN('料金表(税抜)'!K103*(1+$K$3),0)</f>
        <v>43583</v>
      </c>
    </row>
    <row r="104" spans="1:11">
      <c r="A104" s="379">
        <v>91</v>
      </c>
      <c r="B104" s="365">
        <f>ROUNDDOWN('料金表(税抜)'!B104*(1+$K$3),0)</f>
        <v>43628</v>
      </c>
      <c r="C104" s="360">
        <f>ROUNDDOWN('料金表(税抜)'!C104*(1+$K$3),0)</f>
        <v>43673</v>
      </c>
      <c r="D104" s="360">
        <f>ROUNDDOWN('料金表(税抜)'!D104*(1+$K$3),0)</f>
        <v>43718</v>
      </c>
      <c r="E104" s="360">
        <f>ROUNDDOWN('料金表(税抜)'!E104*(1+$K$3),0)</f>
        <v>43762</v>
      </c>
      <c r="F104" s="360">
        <f>ROUNDDOWN('料金表(税抜)'!F104*(1+$K$3),0)</f>
        <v>43807</v>
      </c>
      <c r="G104" s="360">
        <f>ROUNDDOWN('料金表(税抜)'!G104*(1+$K$3),0)</f>
        <v>43852</v>
      </c>
      <c r="H104" s="360">
        <f>ROUNDDOWN('料金表(税抜)'!H104*(1+$K$3),0)</f>
        <v>43897</v>
      </c>
      <c r="I104" s="360">
        <f>ROUNDDOWN('料金表(税抜)'!I104*(1+$K$3),0)</f>
        <v>43942</v>
      </c>
      <c r="J104" s="360">
        <f>ROUNDDOWN('料金表(税抜)'!J104*(1+$K$3),0)</f>
        <v>43986</v>
      </c>
      <c r="K104" s="366">
        <f>ROUNDDOWN('料金表(税抜)'!K104*(1+$K$3),0)</f>
        <v>44031</v>
      </c>
    </row>
    <row r="105" spans="1:11">
      <c r="A105" s="380">
        <v>92</v>
      </c>
      <c r="B105" s="365">
        <f>ROUNDDOWN('料金表(税抜)'!B105*(1+$K$3),0)</f>
        <v>44077</v>
      </c>
      <c r="C105" s="360">
        <f>ROUNDDOWN('料金表(税抜)'!C105*(1+$K$3),0)</f>
        <v>44122</v>
      </c>
      <c r="D105" s="360">
        <f>ROUNDDOWN('料金表(税抜)'!D105*(1+$K$3),0)</f>
        <v>44167</v>
      </c>
      <c r="E105" s="360">
        <f>ROUNDDOWN('料金表(税抜)'!E105*(1+$K$3),0)</f>
        <v>44212</v>
      </c>
      <c r="F105" s="360">
        <f>ROUNDDOWN('料金表(税抜)'!F105*(1+$K$3),0)</f>
        <v>44256</v>
      </c>
      <c r="G105" s="360">
        <f>ROUNDDOWN('料金表(税抜)'!G105*(1+$K$3),0)</f>
        <v>44301</v>
      </c>
      <c r="H105" s="360">
        <f>ROUNDDOWN('料金表(税抜)'!H105*(1+$K$3),0)</f>
        <v>44346</v>
      </c>
      <c r="I105" s="360">
        <f>ROUNDDOWN('料金表(税抜)'!I105*(1+$K$3),0)</f>
        <v>44391</v>
      </c>
      <c r="J105" s="360">
        <f>ROUNDDOWN('料金表(税抜)'!J105*(1+$K$3),0)</f>
        <v>44436</v>
      </c>
      <c r="K105" s="366">
        <f>ROUNDDOWN('料金表(税抜)'!K105*(1+$K$3),0)</f>
        <v>44480</v>
      </c>
    </row>
    <row r="106" spans="1:11">
      <c r="A106" s="380">
        <v>93</v>
      </c>
      <c r="B106" s="365">
        <f>ROUNDDOWN('料金表(税抜)'!B106*(1+$K$3),0)</f>
        <v>44525</v>
      </c>
      <c r="C106" s="360">
        <f>ROUNDDOWN('料金表(税抜)'!C106*(1+$K$3),0)</f>
        <v>44570</v>
      </c>
      <c r="D106" s="360">
        <f>ROUNDDOWN('料金表(税抜)'!D106*(1+$K$3),0)</f>
        <v>44616</v>
      </c>
      <c r="E106" s="360">
        <f>ROUNDDOWN('料金表(税抜)'!E106*(1+$K$3),0)</f>
        <v>44661</v>
      </c>
      <c r="F106" s="360">
        <f>ROUNDDOWN('料金表(税抜)'!F106*(1+$K$3),0)</f>
        <v>44706</v>
      </c>
      <c r="G106" s="360">
        <f>ROUNDDOWN('料金表(税抜)'!G106*(1+$K$3),0)</f>
        <v>44750</v>
      </c>
      <c r="H106" s="360">
        <f>ROUNDDOWN('料金表(税抜)'!H106*(1+$K$3),0)</f>
        <v>44795</v>
      </c>
      <c r="I106" s="360">
        <f>ROUNDDOWN('料金表(税抜)'!I106*(1+$K$3),0)</f>
        <v>44840</v>
      </c>
      <c r="J106" s="360">
        <f>ROUNDDOWN('料金表(税抜)'!J106*(1+$K$3),0)</f>
        <v>44885</v>
      </c>
      <c r="K106" s="366">
        <f>ROUNDDOWN('料金表(税抜)'!K106*(1+$K$3),0)</f>
        <v>44930</v>
      </c>
    </row>
    <row r="107" spans="1:11">
      <c r="A107" s="380">
        <v>94</v>
      </c>
      <c r="B107" s="365">
        <f>ROUNDDOWN('料金表(税抜)'!B107*(1+$K$3),0)</f>
        <v>44975</v>
      </c>
      <c r="C107" s="360">
        <f>ROUNDDOWN('料金表(税抜)'!C107*(1+$K$3),0)</f>
        <v>45019</v>
      </c>
      <c r="D107" s="360">
        <f>ROUNDDOWN('料金表(税抜)'!D107*(1+$K$3),0)</f>
        <v>45064</v>
      </c>
      <c r="E107" s="360">
        <f>ROUNDDOWN('料金表(税抜)'!E107*(1+$K$3),0)</f>
        <v>45109</v>
      </c>
      <c r="F107" s="360">
        <f>ROUNDDOWN('料金表(税抜)'!F107*(1+$K$3),0)</f>
        <v>45155</v>
      </c>
      <c r="G107" s="360">
        <f>ROUNDDOWN('料金表(税抜)'!G107*(1+$K$3),0)</f>
        <v>45200</v>
      </c>
      <c r="H107" s="360">
        <f>ROUNDDOWN('料金表(税抜)'!H107*(1+$K$3),0)</f>
        <v>45244</v>
      </c>
      <c r="I107" s="360">
        <f>ROUNDDOWN('料金表(税抜)'!I107*(1+$K$3),0)</f>
        <v>45289</v>
      </c>
      <c r="J107" s="360">
        <f>ROUNDDOWN('料金表(税抜)'!J107*(1+$K$3),0)</f>
        <v>45334</v>
      </c>
      <c r="K107" s="366">
        <f>ROUNDDOWN('料金表(税抜)'!K107*(1+$K$3),0)</f>
        <v>45379</v>
      </c>
    </row>
    <row r="108" spans="1:11">
      <c r="A108" s="382">
        <v>95</v>
      </c>
      <c r="B108" s="371">
        <f>ROUNDDOWN('料金表(税抜)'!B108*(1+$K$3),0)</f>
        <v>45424</v>
      </c>
      <c r="C108" s="372">
        <f>ROUNDDOWN('料金表(税抜)'!C108*(1+$K$3),0)</f>
        <v>45469</v>
      </c>
      <c r="D108" s="372">
        <f>ROUNDDOWN('料金表(税抜)'!D108*(1+$K$3),0)</f>
        <v>45513</v>
      </c>
      <c r="E108" s="372">
        <f>ROUNDDOWN('料金表(税抜)'!E108*(1+$K$3),0)</f>
        <v>45558</v>
      </c>
      <c r="F108" s="372">
        <f>ROUNDDOWN('料金表(税抜)'!F108*(1+$K$3),0)</f>
        <v>45603</v>
      </c>
      <c r="G108" s="372">
        <f>ROUNDDOWN('料金表(税抜)'!G108*(1+$K$3),0)</f>
        <v>45648</v>
      </c>
      <c r="H108" s="372">
        <f>ROUNDDOWN('料金表(税抜)'!H108*(1+$K$3),0)</f>
        <v>45694</v>
      </c>
      <c r="I108" s="372">
        <f>ROUNDDOWN('料金表(税抜)'!I108*(1+$K$3),0)</f>
        <v>45738</v>
      </c>
      <c r="J108" s="372">
        <f>ROUNDDOWN('料金表(税抜)'!J108*(1+$K$3),0)</f>
        <v>45783</v>
      </c>
      <c r="K108" s="373">
        <f>ROUNDDOWN('料金表(税抜)'!K108*(1+$K$3),0)</f>
        <v>45828</v>
      </c>
    </row>
    <row r="109" spans="1:11">
      <c r="A109" s="379">
        <v>96</v>
      </c>
      <c r="B109" s="365">
        <f>ROUNDDOWN('料金表(税抜)'!B109*(1+$K$3),0)</f>
        <v>45873</v>
      </c>
      <c r="C109" s="360">
        <f>ROUNDDOWN('料金表(税抜)'!C109*(1+$K$3),0)</f>
        <v>45918</v>
      </c>
      <c r="D109" s="360">
        <f>ROUNDDOWN('料金表(税抜)'!D109*(1+$K$3),0)</f>
        <v>45963</v>
      </c>
      <c r="E109" s="360">
        <f>ROUNDDOWN('料金表(税抜)'!E109*(1+$K$3),0)</f>
        <v>46007</v>
      </c>
      <c r="F109" s="360">
        <f>ROUNDDOWN('料金表(税抜)'!F109*(1+$K$3),0)</f>
        <v>46052</v>
      </c>
      <c r="G109" s="360">
        <f>ROUNDDOWN('料金表(税抜)'!G109*(1+$K$3),0)</f>
        <v>46097</v>
      </c>
      <c r="H109" s="360">
        <f>ROUNDDOWN('料金表(税抜)'!H109*(1+$K$3),0)</f>
        <v>46142</v>
      </c>
      <c r="I109" s="360">
        <f>ROUNDDOWN('料金表(税抜)'!I109*(1+$K$3),0)</f>
        <v>46187</v>
      </c>
      <c r="J109" s="360">
        <f>ROUNDDOWN('料金表(税抜)'!J109*(1+$K$3),0)</f>
        <v>46231</v>
      </c>
      <c r="K109" s="366">
        <f>ROUNDDOWN('料金表(税抜)'!K109*(1+$K$3),0)</f>
        <v>46277</v>
      </c>
    </row>
    <row r="110" spans="1:11">
      <c r="A110" s="380">
        <v>97</v>
      </c>
      <c r="B110" s="365">
        <f>ROUNDDOWN('料金表(税抜)'!B110*(1+$K$3),0)</f>
        <v>46322</v>
      </c>
      <c r="C110" s="360">
        <f>ROUNDDOWN('料金表(税抜)'!C110*(1+$K$3),0)</f>
        <v>46367</v>
      </c>
      <c r="D110" s="360">
        <f>ROUNDDOWN('料金表(税抜)'!D110*(1+$K$3),0)</f>
        <v>46412</v>
      </c>
      <c r="E110" s="360">
        <f>ROUNDDOWN('料金表(税抜)'!E110*(1+$K$3),0)</f>
        <v>46457</v>
      </c>
      <c r="F110" s="360">
        <f>ROUNDDOWN('料金表(税抜)'!F110*(1+$K$3),0)</f>
        <v>46501</v>
      </c>
      <c r="G110" s="360">
        <f>ROUNDDOWN('料金表(税抜)'!G110*(1+$K$3),0)</f>
        <v>46546</v>
      </c>
      <c r="H110" s="360">
        <f>ROUNDDOWN('料金表(税抜)'!H110*(1+$K$3),0)</f>
        <v>46591</v>
      </c>
      <c r="I110" s="360">
        <f>ROUNDDOWN('料金表(税抜)'!I110*(1+$K$3),0)</f>
        <v>46636</v>
      </c>
      <c r="J110" s="360">
        <f>ROUNDDOWN('料金表(税抜)'!J110*(1+$K$3),0)</f>
        <v>46681</v>
      </c>
      <c r="K110" s="366">
        <f>ROUNDDOWN('料金表(税抜)'!K110*(1+$K$3),0)</f>
        <v>46725</v>
      </c>
    </row>
    <row r="111" spans="1:11">
      <c r="A111" s="380">
        <v>98</v>
      </c>
      <c r="B111" s="365">
        <f>ROUNDDOWN('料金表(税抜)'!B111*(1+$K$3),0)</f>
        <v>46770</v>
      </c>
      <c r="C111" s="360">
        <f>ROUNDDOWN('料金表(税抜)'!C111*(1+$K$3),0)</f>
        <v>46816</v>
      </c>
      <c r="D111" s="360">
        <f>ROUNDDOWN('料金表(税抜)'!D111*(1+$K$3),0)</f>
        <v>46861</v>
      </c>
      <c r="E111" s="360">
        <f>ROUNDDOWN('料金表(税抜)'!E111*(1+$K$3),0)</f>
        <v>46906</v>
      </c>
      <c r="F111" s="360">
        <f>ROUNDDOWN('料金表(税抜)'!F111*(1+$K$3),0)</f>
        <v>46951</v>
      </c>
      <c r="G111" s="360">
        <f>ROUNDDOWN('料金表(税抜)'!G111*(1+$K$3),0)</f>
        <v>46995</v>
      </c>
      <c r="H111" s="360">
        <f>ROUNDDOWN('料金表(税抜)'!H111*(1+$K$3),0)</f>
        <v>47040</v>
      </c>
      <c r="I111" s="360">
        <f>ROUNDDOWN('料金表(税抜)'!I111*(1+$K$3),0)</f>
        <v>47085</v>
      </c>
      <c r="J111" s="360">
        <f>ROUNDDOWN('料金表(税抜)'!J111*(1+$K$3),0)</f>
        <v>47130</v>
      </c>
      <c r="K111" s="366">
        <f>ROUNDDOWN('料金表(税抜)'!K111*(1+$K$3),0)</f>
        <v>47175</v>
      </c>
    </row>
    <row r="112" spans="1:11" ht="14.5" thickBot="1">
      <c r="A112" s="384">
        <v>99</v>
      </c>
      <c r="B112" s="361">
        <f>ROUNDDOWN('料金表(税抜)'!B112*(1+$K$3),0)</f>
        <v>47220</v>
      </c>
      <c r="C112" s="362">
        <f>ROUNDDOWN('料金表(税抜)'!C112*(1+$K$3),0)</f>
        <v>47264</v>
      </c>
      <c r="D112" s="362">
        <f>ROUNDDOWN('料金表(税抜)'!D112*(1+$K$3),0)</f>
        <v>47309</v>
      </c>
      <c r="E112" s="362">
        <f>ROUNDDOWN('料金表(税抜)'!E112*(1+$K$3),0)</f>
        <v>47355</v>
      </c>
      <c r="F112" s="362">
        <f>ROUNDDOWN('料金表(税抜)'!F112*(1+$K$3),0)</f>
        <v>47400</v>
      </c>
      <c r="G112" s="362">
        <f>ROUNDDOWN('料金表(税抜)'!G112*(1+$K$3),0)</f>
        <v>47445</v>
      </c>
      <c r="H112" s="362">
        <f>ROUNDDOWN('料金表(税抜)'!H112*(1+$K$3),0)</f>
        <v>47489</v>
      </c>
      <c r="I112" s="362">
        <f>ROUNDDOWN('料金表(税抜)'!I112*(1+$K$3),0)</f>
        <v>47534</v>
      </c>
      <c r="J112" s="362">
        <f>ROUNDDOWN('料金表(税抜)'!J112*(1+$K$3),0)</f>
        <v>47579</v>
      </c>
      <c r="K112" s="367">
        <f>ROUNDDOWN('料金表(税抜)'!K112*(1+$K$3),0)</f>
        <v>47624</v>
      </c>
    </row>
    <row r="113" spans="10:11">
      <c r="J113" s="357"/>
      <c r="K113" s="148"/>
    </row>
  </sheetData>
  <sheetProtection sheet="1"/>
  <mergeCells count="3">
    <mergeCell ref="A2:K2"/>
    <mergeCell ref="J4:K4"/>
    <mergeCell ref="A4:C5"/>
  </mergeCells>
  <phoneticPr fontId="22"/>
  <pageMargins left="0.61" right="0.41" top="0.79" bottom="0.52" header="0.51200000000000001" footer="0.51200000000000001"/>
  <pageSetup paperSize="9" fitToHeight="2" orientation="portrait" r:id="rId1"/>
  <headerFooter alignWithMargins="0"/>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18">
    <pageSetUpPr autoPageBreaks="0" fitToPage="1"/>
  </sheetPr>
  <dimension ref="A1:L113"/>
  <sheetViews>
    <sheetView showGridLines="0" zoomScaleNormal="100" workbookViewId="0"/>
  </sheetViews>
  <sheetFormatPr defaultColWidth="9" defaultRowHeight="14"/>
  <cols>
    <col min="1" max="1" width="3.58203125" style="452" customWidth="1"/>
    <col min="2" max="11" width="8.25" style="452" customWidth="1"/>
    <col min="12" max="16384" width="9" style="452"/>
  </cols>
  <sheetData>
    <row r="1" spans="1:12" ht="19">
      <c r="A1" s="719" t="s">
        <v>822</v>
      </c>
      <c r="B1" s="719"/>
      <c r="C1" s="720"/>
      <c r="D1" s="720"/>
      <c r="E1" s="720"/>
      <c r="F1" s="720"/>
      <c r="G1" s="720"/>
      <c r="H1" s="720"/>
      <c r="I1" s="720"/>
      <c r="J1" s="720"/>
      <c r="K1" s="720"/>
    </row>
    <row r="2" spans="1:12">
      <c r="A2" s="2105" t="s">
        <v>824</v>
      </c>
      <c r="B2" s="2105"/>
      <c r="C2" s="2105"/>
      <c r="D2" s="2105"/>
      <c r="E2" s="2105"/>
      <c r="F2" s="2105"/>
      <c r="G2" s="2105"/>
      <c r="H2" s="2105"/>
      <c r="I2" s="2105"/>
      <c r="J2" s="2105"/>
      <c r="K2" s="2105"/>
    </row>
    <row r="3" spans="1:12">
      <c r="A3" s="722"/>
      <c r="B3" s="722"/>
      <c r="C3" s="722"/>
      <c r="D3" s="2109" t="s">
        <v>1236</v>
      </c>
      <c r="E3" s="2109"/>
      <c r="F3" s="2109"/>
      <c r="G3" s="2109"/>
      <c r="H3" s="2109"/>
      <c r="I3" s="2109"/>
      <c r="J3" s="723" t="s">
        <v>828</v>
      </c>
      <c r="K3" s="972">
        <f>IF(基本入力!C7=1,約款料金!F15/100,0)</f>
        <v>0.1</v>
      </c>
    </row>
    <row r="4" spans="1:12">
      <c r="A4" s="2107" t="str">
        <f>基本入力!C4</f>
        <v>コミュニティー団地</v>
      </c>
      <c r="B4" s="2107"/>
      <c r="C4" s="2107"/>
      <c r="I4" s="723" t="s">
        <v>829</v>
      </c>
      <c r="J4" s="2106">
        <v>0</v>
      </c>
      <c r="K4" s="2106"/>
    </row>
    <row r="5" spans="1:12" ht="14.5" thickBot="1">
      <c r="A5" s="2108"/>
      <c r="B5" s="2108"/>
      <c r="C5" s="2108"/>
      <c r="D5" s="720"/>
      <c r="E5" s="720"/>
      <c r="F5" s="720"/>
      <c r="G5" s="720"/>
      <c r="H5" s="720"/>
      <c r="K5" s="723" t="s">
        <v>857</v>
      </c>
    </row>
    <row r="6" spans="1:12" ht="14.5" thickBot="1">
      <c r="A6" s="378"/>
      <c r="B6" s="358">
        <v>0</v>
      </c>
      <c r="C6" s="358">
        <v>0.1</v>
      </c>
      <c r="D6" s="358">
        <v>0.2</v>
      </c>
      <c r="E6" s="358">
        <v>0.3</v>
      </c>
      <c r="F6" s="358">
        <v>0.4</v>
      </c>
      <c r="G6" s="358">
        <v>0.5</v>
      </c>
      <c r="H6" s="358">
        <v>0.6</v>
      </c>
      <c r="I6" s="358">
        <v>0.7</v>
      </c>
      <c r="J6" s="358">
        <v>0.8</v>
      </c>
      <c r="K6" s="359">
        <v>0.9</v>
      </c>
      <c r="L6" s="967"/>
    </row>
    <row r="7" spans="1:12">
      <c r="A7" s="379">
        <v>0</v>
      </c>
      <c r="B7" s="368">
        <f>IF(($A7+B$6)&gt;約款料金!$C$9,ROUNDDOWN(($A7+B$6)*(約款料金!$D$17+$J$4)+約款料金!$D$16,0),IF(($A7+B$6)&gt;約款料金!$B$9,ROUNDDOWN(($A7+B$6)*(約款料金!$C$17+$J$4)+約款料金!$C$16,0),ROUNDDOWN(($A7+B$6)*(約款料金!$B$17+$J$4)+約款料金!$B$16,0)))</f>
        <v>1100</v>
      </c>
      <c r="C7" s="369">
        <f>IF(($A7+C$6)&gt;約款料金!$C$9,ROUNDDOWN(($A7+C$6)*(約款料金!$D$17+$J$4)+約款料金!$D$16,0),IF(($A7+C$6)&gt;約款料金!$B$9,ROUNDDOWN(($A7+C$6)*(約款料金!$C$17+$J$4)+約款料金!$C$16,0),ROUNDDOWN(($A7+C$6)*(約款料金!$B$17+$J$4)+約款料金!$B$16,0)))</f>
        <v>1153</v>
      </c>
      <c r="D7" s="369">
        <f>IF(($A7+D$6)&gt;約款料金!$C$9,ROUNDDOWN(($A7+D$6)*(約款料金!$D$17+$J$4)+約款料金!$D$16,0),IF(($A7+D$6)&gt;約款料金!$B$9,ROUNDDOWN(($A7+D$6)*(約款料金!$C$17+$J$4)+約款料金!$C$16,0),ROUNDDOWN(($A7+D$6)*(約款料金!$B$17+$J$4)+約款料金!$B$16,0)))</f>
        <v>1207</v>
      </c>
      <c r="E7" s="369">
        <f>IF(($A7+E$6)&gt;約款料金!$C$9,ROUNDDOWN(($A7+E$6)*(約款料金!$D$17+$J$4)+約款料金!$D$16,0),IF(($A7+E$6)&gt;約款料金!$B$9,ROUNDDOWN(($A7+E$6)*(約款料金!$C$17+$J$4)+約款料金!$C$16,0),ROUNDDOWN(($A7+E$6)*(約款料金!$B$17+$J$4)+約款料金!$B$16,0)))</f>
        <v>1261</v>
      </c>
      <c r="F7" s="369">
        <f>IF(($A7+F$6)&gt;約款料金!$C$9,ROUNDDOWN(($A7+F$6)*(約款料金!$D$17+$J$4)+約款料金!$D$16,0),IF(($A7+F$6)&gt;約款料金!$B$9,ROUNDDOWN(($A7+F$6)*(約款料金!$C$17+$J$4)+約款料金!$C$16,0),ROUNDDOWN(($A7+F$6)*(約款料金!$B$17+$J$4)+約款料金!$B$16,0)))</f>
        <v>1314</v>
      </c>
      <c r="G7" s="369">
        <f>IF(($A7+G$6)&gt;約款料金!$C$9,ROUNDDOWN(($A7+G$6)*(約款料金!$D$17+$J$4)+約款料金!$D$16,0),IF(($A7+G$6)&gt;約款料金!$B$9,ROUNDDOWN(($A7+G$6)*(約款料金!$C$17+$J$4)+約款料金!$C$16,0),ROUNDDOWN(($A7+G$6)*(約款料金!$B$17+$J$4)+約款料金!$B$16,0)))</f>
        <v>1368</v>
      </c>
      <c r="H7" s="369">
        <f>IF(($A7+H$6)&gt;約款料金!$C$9,ROUNDDOWN(($A7+H$6)*(約款料金!$D$17+$J$4)+約款料金!$D$16,0),IF(($A7+H$6)&gt;約款料金!$B$9,ROUNDDOWN(($A7+H$6)*(約款料金!$C$17+$J$4)+約款料金!$C$16,0),ROUNDDOWN(($A7+H$6)*(約款料金!$B$17+$J$4)+約款料金!$B$16,0)))</f>
        <v>1422</v>
      </c>
      <c r="I7" s="369">
        <f>IF(($A7+I$6)&gt;約款料金!$C$9,ROUNDDOWN(($A7+I$6)*(約款料金!$D$17+$J$4)+約款料金!$D$16,0),IF(($A7+I$6)&gt;約款料金!$B$9,ROUNDDOWN(($A7+I$6)*(約款料金!$C$17+$J$4)+約款料金!$C$16,0),ROUNDDOWN(($A7+I$6)*(約款料金!$B$17+$J$4)+約款料金!$B$16,0)))</f>
        <v>1475</v>
      </c>
      <c r="J7" s="369">
        <f>IF(($A7+J$6)&gt;約款料金!$C$9,ROUNDDOWN(($A7+J$6)*(約款料金!$D$17+$J$4)+約款料金!$D$16,0),IF(($A7+J$6)&gt;約款料金!$B$9,ROUNDDOWN(($A7+J$6)*(約款料金!$C$17+$J$4)+約款料金!$C$16,0),ROUNDDOWN(($A7+J$6)*(約款料金!$B$17+$J$4)+約款料金!$B$16,0)))</f>
        <v>1529</v>
      </c>
      <c r="K7" s="370">
        <f>IF(($A7+K$6)&gt;約款料金!$C$9,ROUNDDOWN(($A7+K$6)*(約款料金!$D$17+$J$4)+約款料金!$D$16,0),IF(($A7+K$6)&gt;約款料金!$B$9,ROUNDDOWN(($A7+K$6)*(約款料金!$C$17+$J$4)+約款料金!$C$16,0),ROUNDDOWN(($A7+K$6)*(約款料金!$B$17+$J$4)+約款料金!$B$16,0)))</f>
        <v>1583</v>
      </c>
    </row>
    <row r="8" spans="1:12">
      <c r="A8" s="380">
        <v>1</v>
      </c>
      <c r="B8" s="365">
        <f>IF(($A8+B$6)&gt;約款料金!$C$9,ROUNDDOWN(($A8+B$6)*(約款料金!$D$17+$J$4)+約款料金!$D$16,0),IF(($A8+B$6)&gt;約款料金!$B$9,ROUNDDOWN(($A8+B$6)*(約款料金!$C$17+$J$4)+約款料金!$C$16,0),ROUNDDOWN(($A8+B$6)*(約款料金!$B$17+$J$4)+約款料金!$B$16,0)))</f>
        <v>1636</v>
      </c>
      <c r="C8" s="360">
        <f>IF(($A8+C$6)&gt;約款料金!$C$9,ROUNDDOWN(($A8+C$6)*(約款料金!$D$17+$J$4)+約款料金!$D$16,0),IF(($A8+C$6)&gt;約款料金!$B$9,ROUNDDOWN(($A8+C$6)*(約款料金!$C$17+$J$4)+約款料金!$C$16,0),ROUNDDOWN(($A8+C$6)*(約款料金!$B$17+$J$4)+約款料金!$B$16,0)))</f>
        <v>1690</v>
      </c>
      <c r="D8" s="360">
        <f>IF(($A8+D$6)&gt;約款料金!$C$9,ROUNDDOWN(($A8+D$6)*(約款料金!$D$17+$J$4)+約款料金!$D$16,0),IF(($A8+D$6)&gt;約款料金!$B$9,ROUNDDOWN(($A8+D$6)*(約款料金!$C$17+$J$4)+約款料金!$C$16,0),ROUNDDOWN(($A8+D$6)*(約款料金!$B$17+$J$4)+約款料金!$B$16,0)))</f>
        <v>1744</v>
      </c>
      <c r="E8" s="360">
        <f>IF(($A8+E$6)&gt;約款料金!$C$9,ROUNDDOWN(($A8+E$6)*(約款料金!$D$17+$J$4)+約款料金!$D$16,0),IF(($A8+E$6)&gt;約款料金!$B$9,ROUNDDOWN(($A8+E$6)*(約款料金!$C$17+$J$4)+約款料金!$C$16,0),ROUNDDOWN(($A8+E$6)*(約款料金!$B$17+$J$4)+約款料金!$B$16,0)))</f>
        <v>1797</v>
      </c>
      <c r="F8" s="360">
        <f>IF(($A8+F$6)&gt;約款料金!$C$9,ROUNDDOWN(($A8+F$6)*(約款料金!$D$17+$J$4)+約款料金!$D$16,0),IF(($A8+F$6)&gt;約款料金!$B$9,ROUNDDOWN(($A8+F$6)*(約款料金!$C$17+$J$4)+約款料金!$C$16,0),ROUNDDOWN(($A8+F$6)*(約款料金!$B$17+$J$4)+約款料金!$B$16,0)))</f>
        <v>1851</v>
      </c>
      <c r="G8" s="360">
        <f>IF(($A8+G$6)&gt;約款料金!$C$9,ROUNDDOWN(($A8+G$6)*(約款料金!$D$17+$J$4)+約款料金!$D$16,0),IF(($A8+G$6)&gt;約款料金!$B$9,ROUNDDOWN(($A8+G$6)*(約款料金!$C$17+$J$4)+約款料金!$C$16,0),ROUNDDOWN(($A8+G$6)*(約款料金!$B$17+$J$4)+約款料金!$B$16,0)))</f>
        <v>1905</v>
      </c>
      <c r="H8" s="360">
        <f>IF(($A8+H$6)&gt;約款料金!$C$9,ROUNDDOWN(($A8+H$6)*(約款料金!$D$17+$J$4)+約款料金!$D$16,0),IF(($A8+H$6)&gt;約款料金!$B$9,ROUNDDOWN(($A8+H$6)*(約款料金!$C$17+$J$4)+約款料金!$C$16,0),ROUNDDOWN(($A8+H$6)*(約款料金!$B$17+$J$4)+約款料金!$B$16,0)))</f>
        <v>1958</v>
      </c>
      <c r="I8" s="360">
        <f>IF(($A8+I$6)&gt;約款料金!$C$9,ROUNDDOWN(($A8+I$6)*(約款料金!$D$17+$J$4)+約款料金!$D$16,0),IF(($A8+I$6)&gt;約款料金!$B$9,ROUNDDOWN(($A8+I$6)*(約款料金!$C$17+$J$4)+約款料金!$C$16,0),ROUNDDOWN(($A8+I$6)*(約款料金!$B$17+$J$4)+約款料金!$B$16,0)))</f>
        <v>2012</v>
      </c>
      <c r="J8" s="360">
        <f>IF(($A8+J$6)&gt;約款料金!$C$9,ROUNDDOWN(($A8+J$6)*(約款料金!$D$17+$J$4)+約款料金!$D$16,0),IF(($A8+J$6)&gt;約款料金!$B$9,ROUNDDOWN(($A8+J$6)*(約款料金!$C$17+$J$4)+約款料金!$C$16,0),ROUNDDOWN(($A8+J$6)*(約款料金!$B$17+$J$4)+約款料金!$B$16,0)))</f>
        <v>2066</v>
      </c>
      <c r="K8" s="366">
        <f>IF(($A8+K$6)&gt;約款料金!$C$9,ROUNDDOWN(($A8+K$6)*(約款料金!$D$17+$J$4)+約款料金!$D$16,0),IF(($A8+K$6)&gt;約款料金!$B$9,ROUNDDOWN(($A8+K$6)*(約款料金!$C$17+$J$4)+約款料金!$C$16,0),ROUNDDOWN(($A8+K$6)*(約款料金!$B$17+$J$4)+約款料金!$B$16,0)))</f>
        <v>2119</v>
      </c>
    </row>
    <row r="9" spans="1:12">
      <c r="A9" s="380">
        <v>2</v>
      </c>
      <c r="B9" s="365">
        <f>IF(($A9+B$6)&gt;約款料金!$C$9,ROUNDDOWN(($A9+B$6)*(約款料金!$D$17+$J$4)+約款料金!$D$16,0),IF(($A9+B$6)&gt;約款料金!$B$9,ROUNDDOWN(($A9+B$6)*(約款料金!$C$17+$J$4)+約款料金!$C$16,0),ROUNDDOWN(($A9+B$6)*(約款料金!$B$17+$J$4)+約款料金!$B$16,0)))</f>
        <v>2173</v>
      </c>
      <c r="C9" s="360">
        <f>IF(($A9+C$6)&gt;約款料金!$C$9,ROUNDDOWN(($A9+C$6)*(約款料金!$D$17+$J$4)+約款料金!$D$16,0),IF(($A9+C$6)&gt;約款料金!$B$9,ROUNDDOWN(($A9+C$6)*(約款料金!$C$17+$J$4)+約款料金!$C$16,0),ROUNDDOWN(($A9+C$6)*(約款料金!$B$17+$J$4)+約款料金!$B$16,0)))</f>
        <v>2227</v>
      </c>
      <c r="D9" s="360">
        <f>IF(($A9+D$6)&gt;約款料金!$C$9,ROUNDDOWN(($A9+D$6)*(約款料金!$D$17+$J$4)+約款料金!$D$16,0),IF(($A9+D$6)&gt;約款料金!$B$9,ROUNDDOWN(($A9+D$6)*(約款料金!$C$17+$J$4)+約款料金!$C$16,0),ROUNDDOWN(($A9+D$6)*(約款料金!$B$17+$J$4)+約款料金!$B$16,0)))</f>
        <v>2280</v>
      </c>
      <c r="E9" s="360">
        <f>IF(($A9+E$6)&gt;約款料金!$C$9,ROUNDDOWN(($A9+E$6)*(約款料金!$D$17+$J$4)+約款料金!$D$16,0),IF(($A9+E$6)&gt;約款料金!$B$9,ROUNDDOWN(($A9+E$6)*(約款料金!$C$17+$J$4)+約款料金!$C$16,0),ROUNDDOWN(($A9+E$6)*(約款料金!$B$17+$J$4)+約款料金!$B$16,0)))</f>
        <v>2334</v>
      </c>
      <c r="F9" s="360">
        <f>IF(($A9+F$6)&gt;約款料金!$C$9,ROUNDDOWN(($A9+F$6)*(約款料金!$D$17+$J$4)+約款料金!$D$16,0),IF(($A9+F$6)&gt;約款料金!$B$9,ROUNDDOWN(($A9+F$6)*(約款料金!$C$17+$J$4)+約款料金!$C$16,0),ROUNDDOWN(($A9+F$6)*(約款料金!$B$17+$J$4)+約款料金!$B$16,0)))</f>
        <v>2388</v>
      </c>
      <c r="G9" s="360">
        <f>IF(($A9+G$6)&gt;約款料金!$C$9,ROUNDDOWN(($A9+G$6)*(約款料金!$D$17+$J$4)+約款料金!$D$16,0),IF(($A9+G$6)&gt;約款料金!$B$9,ROUNDDOWN(($A9+G$6)*(約款料金!$C$17+$J$4)+約款料金!$C$16,0),ROUNDDOWN(($A9+G$6)*(約款料金!$B$17+$J$4)+約款料金!$B$16,0)))</f>
        <v>2442</v>
      </c>
      <c r="H9" s="360">
        <f>IF(($A9+H$6)&gt;約款料金!$C$9,ROUNDDOWN(($A9+H$6)*(約款料金!$D$17+$J$4)+約款料金!$D$16,0),IF(($A9+H$6)&gt;約款料金!$B$9,ROUNDDOWN(($A9+H$6)*(約款料金!$C$17+$J$4)+約款料金!$C$16,0),ROUNDDOWN(($A9+H$6)*(約款料金!$B$17+$J$4)+約款料金!$B$16,0)))</f>
        <v>2495</v>
      </c>
      <c r="I9" s="360">
        <f>IF(($A9+I$6)&gt;約款料金!$C$9,ROUNDDOWN(($A9+I$6)*(約款料金!$D$17+$J$4)+約款料金!$D$16,0),IF(($A9+I$6)&gt;約款料金!$B$9,ROUNDDOWN(($A9+I$6)*(約款料金!$C$17+$J$4)+約款料金!$C$16,0),ROUNDDOWN(($A9+I$6)*(約款料金!$B$17+$J$4)+約款料金!$B$16,0)))</f>
        <v>2549</v>
      </c>
      <c r="J9" s="360">
        <f>IF(($A9+J$6)&gt;約款料金!$C$9,ROUNDDOWN(($A9+J$6)*(約款料金!$D$17+$J$4)+約款料金!$D$16,0),IF(($A9+J$6)&gt;約款料金!$B$9,ROUNDDOWN(($A9+J$6)*(約款料金!$C$17+$J$4)+約款料金!$C$16,0),ROUNDDOWN(($A9+J$6)*(約款料金!$B$17+$J$4)+約款料金!$B$16,0)))</f>
        <v>2603</v>
      </c>
      <c r="K9" s="366">
        <f>IF(($A9+K$6)&gt;約款料金!$C$9,ROUNDDOWN(($A9+K$6)*(約款料金!$D$17+$J$4)+約款料金!$D$16,0),IF(($A9+K$6)&gt;約款料金!$B$9,ROUNDDOWN(($A9+K$6)*(約款料金!$C$17+$J$4)+約款料金!$C$16,0),ROUNDDOWN(($A9+K$6)*(約款料金!$B$17+$J$4)+約款料金!$B$16,0)))</f>
        <v>2656</v>
      </c>
    </row>
    <row r="10" spans="1:12">
      <c r="A10" s="380">
        <v>3</v>
      </c>
      <c r="B10" s="365">
        <f>IF(($A10+B$6)&gt;約款料金!$C$9,ROUNDDOWN(($A10+B$6)*(約款料金!$D$17+$J$4)+約款料金!$D$16,0),IF(($A10+B$6)&gt;約款料金!$B$9,ROUNDDOWN(($A10+B$6)*(約款料金!$C$17+$J$4)+約款料金!$C$16,0),ROUNDDOWN(($A10+B$6)*(約款料金!$B$17+$J$4)+約款料金!$B$16,0)))</f>
        <v>2710</v>
      </c>
      <c r="C10" s="360">
        <f>IF(($A10+C$6)&gt;約款料金!$C$9,ROUNDDOWN(($A10+C$6)*(約款料金!$D$17+$J$4)+約款料金!$D$16,0),IF(($A10+C$6)&gt;約款料金!$B$9,ROUNDDOWN(($A10+C$6)*(約款料金!$C$17+$J$4)+約款料金!$C$16,0),ROUNDDOWN(($A10+C$6)*(約款料金!$B$17+$J$4)+約款料金!$B$16,0)))</f>
        <v>2764</v>
      </c>
      <c r="D10" s="360">
        <f>IF(($A10+D$6)&gt;約款料金!$C$9,ROUNDDOWN(($A10+D$6)*(約款料金!$D$17+$J$4)+約款料金!$D$16,0),IF(($A10+D$6)&gt;約款料金!$B$9,ROUNDDOWN(($A10+D$6)*(約款料金!$C$17+$J$4)+約款料金!$C$16,0),ROUNDDOWN(($A10+D$6)*(約款料金!$B$17+$J$4)+約款料金!$B$16,0)))</f>
        <v>2817</v>
      </c>
      <c r="E10" s="360">
        <f>IF(($A10+E$6)&gt;約款料金!$C$9,ROUNDDOWN(($A10+E$6)*(約款料金!$D$17+$J$4)+約款料金!$D$16,0),IF(($A10+E$6)&gt;約款料金!$B$9,ROUNDDOWN(($A10+E$6)*(約款料金!$C$17+$J$4)+約款料金!$C$16,0),ROUNDDOWN(($A10+E$6)*(約款料金!$B$17+$J$4)+約款料金!$B$16,0)))</f>
        <v>2871</v>
      </c>
      <c r="F10" s="360">
        <f>IF(($A10+F$6)&gt;約款料金!$C$9,ROUNDDOWN(($A10+F$6)*(約款料金!$D$17+$J$4)+約款料金!$D$16,0),IF(($A10+F$6)&gt;約款料金!$B$9,ROUNDDOWN(($A10+F$6)*(約款料金!$C$17+$J$4)+約款料金!$C$16,0),ROUNDDOWN(($A10+F$6)*(約款料金!$B$17+$J$4)+約款料金!$B$16,0)))</f>
        <v>2925</v>
      </c>
      <c r="G10" s="360">
        <f>IF(($A10+G$6)&gt;約款料金!$C$9,ROUNDDOWN(($A10+G$6)*(約款料金!$D$17+$J$4)+約款料金!$D$16,0),IF(($A10+G$6)&gt;約款料金!$B$9,ROUNDDOWN(($A10+G$6)*(約款料金!$C$17+$J$4)+約款料金!$C$16,0),ROUNDDOWN(($A10+G$6)*(約款料金!$B$17+$J$4)+約款料金!$B$16,0)))</f>
        <v>2978</v>
      </c>
      <c r="H10" s="360">
        <f>IF(($A10+H$6)&gt;約款料金!$C$9,ROUNDDOWN(($A10+H$6)*(約款料金!$D$17+$J$4)+約款料金!$D$16,0),IF(($A10+H$6)&gt;約款料金!$B$9,ROUNDDOWN(($A10+H$6)*(約款料金!$C$17+$J$4)+約款料金!$C$16,0),ROUNDDOWN(($A10+H$6)*(約款料金!$B$17+$J$4)+約款料金!$B$16,0)))</f>
        <v>3032</v>
      </c>
      <c r="I10" s="360">
        <f>IF(($A10+I$6)&gt;約款料金!$C$9,ROUNDDOWN(($A10+I$6)*(約款料金!$D$17+$J$4)+約款料金!$D$16,0),IF(($A10+I$6)&gt;約款料金!$B$9,ROUNDDOWN(($A10+I$6)*(約款料金!$C$17+$J$4)+約款料金!$C$16,0),ROUNDDOWN(($A10+I$6)*(約款料金!$B$17+$J$4)+約款料金!$B$16,0)))</f>
        <v>3086</v>
      </c>
      <c r="J10" s="360">
        <f>IF(($A10+J$6)&gt;約款料金!$C$9,ROUNDDOWN(($A10+J$6)*(約款料金!$D$17+$J$4)+約款料金!$D$16,0),IF(($A10+J$6)&gt;約款料金!$B$9,ROUNDDOWN(($A10+J$6)*(約款料金!$C$17+$J$4)+約款料金!$C$16,0),ROUNDDOWN(($A10+J$6)*(約款料金!$B$17+$J$4)+約款料金!$B$16,0)))</f>
        <v>3139</v>
      </c>
      <c r="K10" s="366">
        <f>IF(($A10+K$6)&gt;約款料金!$C$9,ROUNDDOWN(($A10+K$6)*(約款料金!$D$17+$J$4)+約款料金!$D$16,0),IF(($A10+K$6)&gt;約款料金!$B$9,ROUNDDOWN(($A10+K$6)*(約款料金!$C$17+$J$4)+約款料金!$C$16,0),ROUNDDOWN(($A10+K$6)*(約款料金!$B$17+$J$4)+約款料金!$B$16,0)))</f>
        <v>3193</v>
      </c>
    </row>
    <row r="11" spans="1:12">
      <c r="A11" s="381">
        <v>4</v>
      </c>
      <c r="B11" s="374">
        <f>IF(($A11+B$6)&gt;約款料金!$C$9,ROUNDDOWN(($A11+B$6)*(約款料金!$D$17+$J$4)+約款料金!$D$16,0),IF(($A11+B$6)&gt;約款料金!$B$9,ROUNDDOWN(($A11+B$6)*(約款料金!$C$17+$J$4)+約款料金!$C$16,0),ROUNDDOWN(($A11+B$6)*(約款料金!$B$17+$J$4)+約款料金!$B$16,0)))</f>
        <v>3247</v>
      </c>
      <c r="C11" s="375">
        <f>IF(($A11+C$6)&gt;約款料金!$C$9,ROUNDDOWN(($A11+C$6)*(約款料金!$D$17+$J$4)+約款料金!$D$16,0),IF(($A11+C$6)&gt;約款料金!$B$9,ROUNDDOWN(($A11+C$6)*(約款料金!$C$17+$J$4)+約款料金!$C$16,0),ROUNDDOWN(($A11+C$6)*(約款料金!$B$17+$J$4)+約款料金!$B$16,0)))</f>
        <v>3300</v>
      </c>
      <c r="D11" s="375">
        <f>IF(($A11+D$6)&gt;約款料金!$C$9,ROUNDDOWN(($A11+D$6)*(約款料金!$D$17+$J$4)+約款料金!$D$16,0),IF(($A11+D$6)&gt;約款料金!$B$9,ROUNDDOWN(($A11+D$6)*(約款料金!$C$17+$J$4)+約款料金!$C$16,0),ROUNDDOWN(($A11+D$6)*(約款料金!$B$17+$J$4)+約款料金!$B$16,0)))</f>
        <v>3354</v>
      </c>
      <c r="E11" s="375">
        <f>IF(($A11+E$6)&gt;約款料金!$C$9,ROUNDDOWN(($A11+E$6)*(約款料金!$D$17+$J$4)+約款料金!$D$16,0),IF(($A11+E$6)&gt;約款料金!$B$9,ROUNDDOWN(($A11+E$6)*(約款料金!$C$17+$J$4)+約款料金!$C$16,0),ROUNDDOWN(($A11+E$6)*(約款料金!$B$17+$J$4)+約款料金!$B$16,0)))</f>
        <v>3408</v>
      </c>
      <c r="F11" s="375">
        <f>IF(($A11+F$6)&gt;約款料金!$C$9,ROUNDDOWN(($A11+F$6)*(約款料金!$D$17+$J$4)+約款料金!$D$16,0),IF(($A11+F$6)&gt;約款料金!$B$9,ROUNDDOWN(($A11+F$6)*(約款料金!$C$17+$J$4)+約款料金!$C$16,0),ROUNDDOWN(($A11+F$6)*(約款料金!$B$17+$J$4)+約款料金!$B$16,0)))</f>
        <v>3461</v>
      </c>
      <c r="G11" s="375">
        <f>IF(($A11+G$6)&gt;約款料金!$C$9,ROUNDDOWN(($A11+G$6)*(約款料金!$D$17+$J$4)+約款料金!$D$16,0),IF(($A11+G$6)&gt;約款料金!$B$9,ROUNDDOWN(($A11+G$6)*(約款料金!$C$17+$J$4)+約款料金!$C$16,0),ROUNDDOWN(($A11+G$6)*(約款料金!$B$17+$J$4)+約款料金!$B$16,0)))</f>
        <v>3515</v>
      </c>
      <c r="H11" s="375">
        <f>IF(($A11+H$6)&gt;約款料金!$C$9,ROUNDDOWN(($A11+H$6)*(約款料金!$D$17+$J$4)+約款料金!$D$16,0),IF(($A11+H$6)&gt;約款料金!$B$9,ROUNDDOWN(($A11+H$6)*(約款料金!$C$17+$J$4)+約款料金!$C$16,0),ROUNDDOWN(($A11+H$6)*(約款料金!$B$17+$J$4)+約款料金!$B$16,0)))</f>
        <v>3569</v>
      </c>
      <c r="I11" s="375">
        <f>IF(($A11+I$6)&gt;約款料金!$C$9,ROUNDDOWN(($A11+I$6)*(約款料金!$D$17+$J$4)+約款料金!$D$16,0),IF(($A11+I$6)&gt;約款料金!$B$9,ROUNDDOWN(($A11+I$6)*(約款料金!$C$17+$J$4)+約款料金!$C$16,0),ROUNDDOWN(($A11+I$6)*(約款料金!$B$17+$J$4)+約款料金!$B$16,0)))</f>
        <v>3622</v>
      </c>
      <c r="J11" s="375">
        <f>IF(($A11+J$6)&gt;約款料金!$C$9,ROUNDDOWN(($A11+J$6)*(約款料金!$D$17+$J$4)+約款料金!$D$16,0),IF(($A11+J$6)&gt;約款料金!$B$9,ROUNDDOWN(($A11+J$6)*(約款料金!$C$17+$J$4)+約款料金!$C$16,0),ROUNDDOWN(($A11+J$6)*(約款料金!$B$17+$J$4)+約款料金!$B$16,0)))</f>
        <v>3676</v>
      </c>
      <c r="K11" s="376">
        <f>IF(($A11+K$6)&gt;約款料金!$C$9,ROUNDDOWN(($A11+K$6)*(約款料金!$D$17+$J$4)+約款料金!$D$16,0),IF(($A11+K$6)&gt;約款料金!$B$9,ROUNDDOWN(($A11+K$6)*(約款料金!$C$17+$J$4)+約款料金!$C$16,0),ROUNDDOWN(($A11+K$6)*(約款料金!$B$17+$J$4)+約款料金!$B$16,0)))</f>
        <v>3730</v>
      </c>
    </row>
    <row r="12" spans="1:12">
      <c r="A12" s="382">
        <v>5</v>
      </c>
      <c r="B12" s="371">
        <f>IF(($A12+B$6)&gt;約款料金!$C$9,ROUNDDOWN(($A12+B$6)*(約款料金!$D$17+$J$4)+約款料金!$D$16,0),IF(($A12+B$6)&gt;約款料金!$B$9,ROUNDDOWN(($A12+B$6)*(約款料金!$C$17+$J$4)+約款料金!$C$16,0),ROUNDDOWN(($A12+B$6)*(約款料金!$B$17+$J$4)+約款料金!$B$16,0)))</f>
        <v>3784</v>
      </c>
      <c r="C12" s="372">
        <f>IF(($A12+C$6)&gt;約款料金!$C$9,ROUNDDOWN(($A12+C$6)*(約款料金!$D$17+$J$4)+約款料金!$D$16,0),IF(($A12+C$6)&gt;約款料金!$B$9,ROUNDDOWN(($A12+C$6)*(約款料金!$C$17+$J$4)+約款料金!$C$16,0),ROUNDDOWN(($A12+C$6)*(約款料金!$B$17+$J$4)+約款料金!$B$16,0)))</f>
        <v>3837</v>
      </c>
      <c r="D12" s="372">
        <f>IF(($A12+D$6)&gt;約款料金!$C$9,ROUNDDOWN(($A12+D$6)*(約款料金!$D$17+$J$4)+約款料金!$D$16,0),IF(($A12+D$6)&gt;約款料金!$B$9,ROUNDDOWN(($A12+D$6)*(約款料金!$C$17+$J$4)+約款料金!$C$16,0),ROUNDDOWN(($A12+D$6)*(約款料金!$B$17+$J$4)+約款料金!$B$16,0)))</f>
        <v>3891</v>
      </c>
      <c r="E12" s="372">
        <f>IF(($A12+E$6)&gt;約款料金!$C$9,ROUNDDOWN(($A12+E$6)*(約款料金!$D$17+$J$4)+約款料金!$D$16,0),IF(($A12+E$6)&gt;約款料金!$B$9,ROUNDDOWN(($A12+E$6)*(約款料金!$C$17+$J$4)+約款料金!$C$16,0),ROUNDDOWN(($A12+E$6)*(約款料金!$B$17+$J$4)+約款料金!$B$16,0)))</f>
        <v>3945</v>
      </c>
      <c r="F12" s="372">
        <f>IF(($A12+F$6)&gt;約款料金!$C$9,ROUNDDOWN(($A12+F$6)*(約款料金!$D$17+$J$4)+約款料金!$D$16,0),IF(($A12+F$6)&gt;約款料金!$B$9,ROUNDDOWN(($A12+F$6)*(約款料金!$C$17+$J$4)+約款料金!$C$16,0),ROUNDDOWN(($A12+F$6)*(約款料金!$B$17+$J$4)+約款料金!$B$16,0)))</f>
        <v>3998</v>
      </c>
      <c r="G12" s="372">
        <f>IF(($A12+G$6)&gt;約款料金!$C$9,ROUNDDOWN(($A12+G$6)*(約款料金!$D$17+$J$4)+約款料金!$D$16,0),IF(($A12+G$6)&gt;約款料金!$B$9,ROUNDDOWN(($A12+G$6)*(約款料金!$C$17+$J$4)+約款料金!$C$16,0),ROUNDDOWN(($A12+G$6)*(約款料金!$B$17+$J$4)+約款料金!$B$16,0)))</f>
        <v>4052</v>
      </c>
      <c r="H12" s="372">
        <f>IF(($A12+H$6)&gt;約款料金!$C$9,ROUNDDOWN(($A12+H$6)*(約款料金!$D$17+$J$4)+約款料金!$D$16,0),IF(($A12+H$6)&gt;約款料金!$B$9,ROUNDDOWN(($A12+H$6)*(約款料金!$C$17+$J$4)+約款料金!$C$16,0),ROUNDDOWN(($A12+H$6)*(約款料金!$B$17+$J$4)+約款料金!$B$16,0)))</f>
        <v>4106</v>
      </c>
      <c r="I12" s="372">
        <f>IF(($A12+I$6)&gt;約款料金!$C$9,ROUNDDOWN(($A12+I$6)*(約款料金!$D$17+$J$4)+約款料金!$D$16,0),IF(($A12+I$6)&gt;約款料金!$B$9,ROUNDDOWN(($A12+I$6)*(約款料金!$C$17+$J$4)+約款料金!$C$16,0),ROUNDDOWN(($A12+I$6)*(約款料金!$B$17+$J$4)+約款料金!$B$16,0)))</f>
        <v>4159</v>
      </c>
      <c r="J12" s="372">
        <f>IF(($A12+J$6)&gt;約款料金!$C$9,ROUNDDOWN(($A12+J$6)*(約款料金!$D$17+$J$4)+約款料金!$D$16,0),IF(($A12+J$6)&gt;約款料金!$B$9,ROUNDDOWN(($A12+J$6)*(約款料金!$C$17+$J$4)+約款料金!$C$16,0),ROUNDDOWN(($A12+J$6)*(約款料金!$B$17+$J$4)+約款料金!$B$16,0)))</f>
        <v>4213</v>
      </c>
      <c r="K12" s="373">
        <f>IF(($A12+K$6)&gt;約款料金!$C$9,ROUNDDOWN(($A12+K$6)*(約款料金!$D$17+$J$4)+約款料金!$D$16,0),IF(($A12+K$6)&gt;約款料金!$B$9,ROUNDDOWN(($A12+K$6)*(約款料金!$C$17+$J$4)+約款料金!$C$16,0),ROUNDDOWN(($A12+K$6)*(約款料金!$B$17+$J$4)+約款料金!$B$16,0)))</f>
        <v>4267</v>
      </c>
    </row>
    <row r="13" spans="1:12">
      <c r="A13" s="379">
        <v>6</v>
      </c>
      <c r="B13" s="365">
        <f>IF(($A13+B$6)&gt;約款料金!$C$9,ROUNDDOWN(($A13+B$6)*(約款料金!$D$17+$J$4)+約款料金!$D$16,0),IF(($A13+B$6)&gt;約款料金!$B$9,ROUNDDOWN(($A13+B$6)*(約款料金!$C$17+$J$4)+約款料金!$C$16,0),ROUNDDOWN(($A13+B$6)*(約款料金!$B$17+$J$4)+約款料金!$B$16,0)))</f>
        <v>4320</v>
      </c>
      <c r="C13" s="360">
        <f>IF(($A13+C$6)&gt;約款料金!$C$9,ROUNDDOWN(($A13+C$6)*(約款料金!$D$17+$J$4)+約款料金!$D$16,0),IF(($A13+C$6)&gt;約款料金!$B$9,ROUNDDOWN(($A13+C$6)*(約款料金!$C$17+$J$4)+約款料金!$C$16,0),ROUNDDOWN(($A13+C$6)*(約款料金!$B$17+$J$4)+約款料金!$B$16,0)))</f>
        <v>4374</v>
      </c>
      <c r="D13" s="360">
        <f>IF(($A13+D$6)&gt;約款料金!$C$9,ROUNDDOWN(($A13+D$6)*(約款料金!$D$17+$J$4)+約款料金!$D$16,0),IF(($A13+D$6)&gt;約款料金!$B$9,ROUNDDOWN(($A13+D$6)*(約款料金!$C$17+$J$4)+約款料金!$C$16,0),ROUNDDOWN(($A13+D$6)*(約款料金!$B$17+$J$4)+約款料金!$B$16,0)))</f>
        <v>4428</v>
      </c>
      <c r="E13" s="360">
        <f>IF(($A13+E$6)&gt;約款料金!$C$9,ROUNDDOWN(($A13+E$6)*(約款料金!$D$17+$J$4)+約款料金!$D$16,0),IF(($A13+E$6)&gt;約款料金!$B$9,ROUNDDOWN(($A13+E$6)*(約款料金!$C$17+$J$4)+約款料金!$C$16,0),ROUNDDOWN(($A13+E$6)*(約款料金!$B$17+$J$4)+約款料金!$B$16,0)))</f>
        <v>4481</v>
      </c>
      <c r="F13" s="360">
        <f>IF(($A13+F$6)&gt;約款料金!$C$9,ROUNDDOWN(($A13+F$6)*(約款料金!$D$17+$J$4)+約款料金!$D$16,0),IF(($A13+F$6)&gt;約款料金!$B$9,ROUNDDOWN(($A13+F$6)*(約款料金!$C$17+$J$4)+約款料金!$C$16,0),ROUNDDOWN(($A13+F$6)*(約款料金!$B$17+$J$4)+約款料金!$B$16,0)))</f>
        <v>4535</v>
      </c>
      <c r="G13" s="360">
        <f>IF(($A13+G$6)&gt;約款料金!$C$9,ROUNDDOWN(($A13+G$6)*(約款料金!$D$17+$J$4)+約款料金!$D$16,0),IF(($A13+G$6)&gt;約款料金!$B$9,ROUNDDOWN(($A13+G$6)*(約款料金!$C$17+$J$4)+約款料金!$C$16,0),ROUNDDOWN(($A13+G$6)*(約款料金!$B$17+$J$4)+約款料金!$B$16,0)))</f>
        <v>4589</v>
      </c>
      <c r="H13" s="360">
        <f>IF(($A13+H$6)&gt;約款料金!$C$9,ROUNDDOWN(($A13+H$6)*(約款料金!$D$17+$J$4)+約款料金!$D$16,0),IF(($A13+H$6)&gt;約款料金!$B$9,ROUNDDOWN(($A13+H$6)*(約款料金!$C$17+$J$4)+約款料金!$C$16,0),ROUNDDOWN(($A13+H$6)*(約款料金!$B$17+$J$4)+約款料金!$B$16,0)))</f>
        <v>4642</v>
      </c>
      <c r="I13" s="360">
        <f>IF(($A13+I$6)&gt;約款料金!$C$9,ROUNDDOWN(($A13+I$6)*(約款料金!$D$17+$J$4)+約款料金!$D$16,0),IF(($A13+I$6)&gt;約款料金!$B$9,ROUNDDOWN(($A13+I$6)*(約款料金!$C$17+$J$4)+約款料金!$C$16,0),ROUNDDOWN(($A13+I$6)*(約款料金!$B$17+$J$4)+約款料金!$B$16,0)))</f>
        <v>4696</v>
      </c>
      <c r="J13" s="360">
        <f>IF(($A13+J$6)&gt;約款料金!$C$9,ROUNDDOWN(($A13+J$6)*(約款料金!$D$17+$J$4)+約款料金!$D$16,0),IF(($A13+J$6)&gt;約款料金!$B$9,ROUNDDOWN(($A13+J$6)*(約款料金!$C$17+$J$4)+約款料金!$C$16,0),ROUNDDOWN(($A13+J$6)*(約款料金!$B$17+$J$4)+約款料金!$B$16,0)))</f>
        <v>4750</v>
      </c>
      <c r="K13" s="366">
        <f>IF(($A13+K$6)&gt;約款料金!$C$9,ROUNDDOWN(($A13+K$6)*(約款料金!$D$17+$J$4)+約款料金!$D$16,0),IF(($A13+K$6)&gt;約款料金!$B$9,ROUNDDOWN(($A13+K$6)*(約款料金!$C$17+$J$4)+約款料金!$C$16,0),ROUNDDOWN(($A13+K$6)*(約款料金!$B$17+$J$4)+約款料金!$B$16,0)))</f>
        <v>4803</v>
      </c>
    </row>
    <row r="14" spans="1:12">
      <c r="A14" s="380">
        <v>7</v>
      </c>
      <c r="B14" s="365">
        <f>IF(($A14+B$6)&gt;約款料金!$C$9,ROUNDDOWN(($A14+B$6)*(約款料金!$D$17+$J$4)+約款料金!$D$16,0),IF(($A14+B$6)&gt;約款料金!$B$9,ROUNDDOWN(($A14+B$6)*(約款料金!$C$17+$J$4)+約款料金!$C$16,0),ROUNDDOWN(($A14+B$6)*(約款料金!$B$17+$J$4)+約款料金!$B$16,0)))</f>
        <v>4857</v>
      </c>
      <c r="C14" s="360">
        <f>IF(($A14+C$6)&gt;約款料金!$C$9,ROUNDDOWN(($A14+C$6)*(約款料金!$D$17+$J$4)+約款料金!$D$16,0),IF(($A14+C$6)&gt;約款料金!$B$9,ROUNDDOWN(($A14+C$6)*(約款料金!$C$17+$J$4)+約款料金!$C$16,0),ROUNDDOWN(($A14+C$6)*(約款料金!$B$17+$J$4)+約款料金!$B$16,0)))</f>
        <v>4911</v>
      </c>
      <c r="D14" s="360">
        <f>IF(($A14+D$6)&gt;約款料金!$C$9,ROUNDDOWN(($A14+D$6)*(約款料金!$D$17+$J$4)+約款料金!$D$16,0),IF(($A14+D$6)&gt;約款料金!$B$9,ROUNDDOWN(($A14+D$6)*(約款料金!$C$17+$J$4)+約款料金!$C$16,0),ROUNDDOWN(($A14+D$6)*(約款料金!$B$17+$J$4)+約款料金!$B$16,0)))</f>
        <v>4964</v>
      </c>
      <c r="E14" s="360">
        <f>IF(($A14+E$6)&gt;約款料金!$C$9,ROUNDDOWN(($A14+E$6)*(約款料金!$D$17+$J$4)+約款料金!$D$16,0),IF(($A14+E$6)&gt;約款料金!$B$9,ROUNDDOWN(($A14+E$6)*(約款料金!$C$17+$J$4)+約款料金!$C$16,0),ROUNDDOWN(($A14+E$6)*(約款料金!$B$17+$J$4)+約款料金!$B$16,0)))</f>
        <v>5018</v>
      </c>
      <c r="F14" s="360">
        <f>IF(($A14+F$6)&gt;約款料金!$C$9,ROUNDDOWN(($A14+F$6)*(約款料金!$D$17+$J$4)+約款料金!$D$16,0),IF(($A14+F$6)&gt;約款料金!$B$9,ROUNDDOWN(($A14+F$6)*(約款料金!$C$17+$J$4)+約款料金!$C$16,0),ROUNDDOWN(($A14+F$6)*(約款料金!$B$17+$J$4)+約款料金!$B$16,0)))</f>
        <v>5072</v>
      </c>
      <c r="G14" s="360">
        <f>IF(($A14+G$6)&gt;約款料金!$C$9,ROUNDDOWN(($A14+G$6)*(約款料金!$D$17+$J$4)+約款料金!$D$16,0),IF(($A14+G$6)&gt;約款料金!$B$9,ROUNDDOWN(($A14+G$6)*(約款料金!$C$17+$J$4)+約款料金!$C$16,0),ROUNDDOWN(($A14+G$6)*(約款料金!$B$17+$J$4)+約款料金!$B$16,0)))</f>
        <v>5126</v>
      </c>
      <c r="H14" s="360">
        <f>IF(($A14+H$6)&gt;約款料金!$C$9,ROUNDDOWN(($A14+H$6)*(約款料金!$D$17+$J$4)+約款料金!$D$16,0),IF(($A14+H$6)&gt;約款料金!$B$9,ROUNDDOWN(($A14+H$6)*(約款料金!$C$17+$J$4)+約款料金!$C$16,0),ROUNDDOWN(($A14+H$6)*(約款料金!$B$17+$J$4)+約款料金!$B$16,0)))</f>
        <v>5179</v>
      </c>
      <c r="I14" s="360">
        <f>IF(($A14+I$6)&gt;約款料金!$C$9,ROUNDDOWN(($A14+I$6)*(約款料金!$D$17+$J$4)+約款料金!$D$16,0),IF(($A14+I$6)&gt;約款料金!$B$9,ROUNDDOWN(($A14+I$6)*(約款料金!$C$17+$J$4)+約款料金!$C$16,0),ROUNDDOWN(($A14+I$6)*(約款料金!$B$17+$J$4)+約款料金!$B$16,0)))</f>
        <v>5233</v>
      </c>
      <c r="J14" s="360">
        <f>IF(($A14+J$6)&gt;約款料金!$C$9,ROUNDDOWN(($A14+J$6)*(約款料金!$D$17+$J$4)+約款料金!$D$16,0),IF(($A14+J$6)&gt;約款料金!$B$9,ROUNDDOWN(($A14+J$6)*(約款料金!$C$17+$J$4)+約款料金!$C$16,0),ROUNDDOWN(($A14+J$6)*(約款料金!$B$17+$J$4)+約款料金!$B$16,0)))</f>
        <v>5287</v>
      </c>
      <c r="K14" s="366">
        <f>IF(($A14+K$6)&gt;約款料金!$C$9,ROUNDDOWN(($A14+K$6)*(約款料金!$D$17+$J$4)+約款料金!$D$16,0),IF(($A14+K$6)&gt;約款料金!$B$9,ROUNDDOWN(($A14+K$6)*(約款料金!$C$17+$J$4)+約款料金!$C$16,0),ROUNDDOWN(($A14+K$6)*(約款料金!$B$17+$J$4)+約款料金!$B$16,0)))</f>
        <v>5340</v>
      </c>
    </row>
    <row r="15" spans="1:12">
      <c r="A15" s="380">
        <v>8</v>
      </c>
      <c r="B15" s="365">
        <f>IF(($A15+B$6)&gt;約款料金!$C$9,ROUNDDOWN(($A15+B$6)*(約款料金!$D$17+$J$4)+約款料金!$D$16,0),IF(($A15+B$6)&gt;約款料金!$B$9,ROUNDDOWN(($A15+B$6)*(約款料金!$C$17+$J$4)+約款料金!$C$16,0),ROUNDDOWN(($A15+B$6)*(約款料金!$B$17+$J$4)+約款料金!$B$16,0)))</f>
        <v>5394</v>
      </c>
      <c r="C15" s="360">
        <f>IF(($A15+C$6)&gt;約款料金!$C$9,ROUNDDOWN(($A15+C$6)*(約款料金!$D$17+$J$4)+約款料金!$D$16,0),IF(($A15+C$6)&gt;約款料金!$B$9,ROUNDDOWN(($A15+C$6)*(約款料金!$C$17+$J$4)+約款料金!$C$16,0),ROUNDDOWN(($A15+C$6)*(約款料金!$B$17+$J$4)+約款料金!$B$16,0)))</f>
        <v>5443</v>
      </c>
      <c r="D15" s="360">
        <f>IF(($A15+D$6)&gt;約款料金!$C$9,ROUNDDOWN(($A15+D$6)*(約款料金!$D$17+$J$4)+約款料金!$D$16,0),IF(($A15+D$6)&gt;約款料金!$B$9,ROUNDDOWN(($A15+D$6)*(約款料金!$C$17+$J$4)+約款料金!$C$16,0),ROUNDDOWN(($A15+D$6)*(約款料金!$B$17+$J$4)+約款料金!$B$16,0)))</f>
        <v>5492</v>
      </c>
      <c r="E15" s="360">
        <f>IF(($A15+E$6)&gt;約款料金!$C$9,ROUNDDOWN(($A15+E$6)*(約款料金!$D$17+$J$4)+約款料金!$D$16,0),IF(($A15+E$6)&gt;約款料金!$B$9,ROUNDDOWN(($A15+E$6)*(約款料金!$C$17+$J$4)+約款料金!$C$16,0),ROUNDDOWN(($A15+E$6)*(約款料金!$B$17+$J$4)+約款料金!$B$16,0)))</f>
        <v>5542</v>
      </c>
      <c r="F15" s="360">
        <f>IF(($A15+F$6)&gt;約款料金!$C$9,ROUNDDOWN(($A15+F$6)*(約款料金!$D$17+$J$4)+約款料金!$D$16,0),IF(($A15+F$6)&gt;約款料金!$B$9,ROUNDDOWN(($A15+F$6)*(約款料金!$C$17+$J$4)+約款料金!$C$16,0),ROUNDDOWN(($A15+F$6)*(約款料金!$B$17+$J$4)+約款料金!$B$16,0)))</f>
        <v>5591</v>
      </c>
      <c r="G15" s="360">
        <f>IF(($A15+G$6)&gt;約款料金!$C$9,ROUNDDOWN(($A15+G$6)*(約款料金!$D$17+$J$4)+約款料金!$D$16,0),IF(($A15+G$6)&gt;約款料金!$B$9,ROUNDDOWN(($A15+G$6)*(約款料金!$C$17+$J$4)+約款料金!$C$16,0),ROUNDDOWN(($A15+G$6)*(約款料金!$B$17+$J$4)+約款料金!$B$16,0)))</f>
        <v>5640</v>
      </c>
      <c r="H15" s="360">
        <f>IF(($A15+H$6)&gt;約款料金!$C$9,ROUNDDOWN(($A15+H$6)*(約款料金!$D$17+$J$4)+約款料金!$D$16,0),IF(($A15+H$6)&gt;約款料金!$B$9,ROUNDDOWN(($A15+H$6)*(約款料金!$C$17+$J$4)+約款料金!$C$16,0),ROUNDDOWN(($A15+H$6)*(約款料金!$B$17+$J$4)+約款料金!$B$16,0)))</f>
        <v>5690</v>
      </c>
      <c r="I15" s="360">
        <f>IF(($A15+I$6)&gt;約款料金!$C$9,ROUNDDOWN(($A15+I$6)*(約款料金!$D$17+$J$4)+約款料金!$D$16,0),IF(($A15+I$6)&gt;約款料金!$B$9,ROUNDDOWN(($A15+I$6)*(約款料金!$C$17+$J$4)+約款料金!$C$16,0),ROUNDDOWN(($A15+I$6)*(約款料金!$B$17+$J$4)+約款料金!$B$16,0)))</f>
        <v>5739</v>
      </c>
      <c r="J15" s="360">
        <f>IF(($A15+J$6)&gt;約款料金!$C$9,ROUNDDOWN(($A15+J$6)*(約款料金!$D$17+$J$4)+約款料金!$D$16,0),IF(($A15+J$6)&gt;約款料金!$B$9,ROUNDDOWN(($A15+J$6)*(約款料金!$C$17+$J$4)+約款料金!$C$16,0),ROUNDDOWN(($A15+J$6)*(約款料金!$B$17+$J$4)+約款料金!$B$16,0)))</f>
        <v>5788</v>
      </c>
      <c r="K15" s="366">
        <f>IF(($A15+K$6)&gt;約款料金!$C$9,ROUNDDOWN(($A15+K$6)*(約款料金!$D$17+$J$4)+約款料金!$D$16,0),IF(($A15+K$6)&gt;約款料金!$B$9,ROUNDDOWN(($A15+K$6)*(約款料金!$C$17+$J$4)+約款料金!$C$16,0),ROUNDDOWN(($A15+K$6)*(約款料金!$B$17+$J$4)+約款料金!$B$16,0)))</f>
        <v>5838</v>
      </c>
    </row>
    <row r="16" spans="1:12">
      <c r="A16" s="383">
        <v>9</v>
      </c>
      <c r="B16" s="374">
        <f>IF(($A16+B$6)&gt;約款料金!$C$9,ROUNDDOWN(($A16+B$6)*(約款料金!$D$17+$J$4)+約款料金!$D$16,0),IF(($A16+B$6)&gt;約款料金!$B$9,ROUNDDOWN(($A16+B$6)*(約款料金!$C$17+$J$4)+約款料金!$C$16,0),ROUNDDOWN(($A16+B$6)*(約款料金!$B$17+$J$4)+約款料金!$B$16,0)))</f>
        <v>5887</v>
      </c>
      <c r="C16" s="375">
        <f>IF(($A16+C$6)&gt;約款料金!$C$9,ROUNDDOWN(($A16+C$6)*(約款料金!$D$17+$J$4)+約款料金!$D$16,0),IF(($A16+C$6)&gt;約款料金!$B$9,ROUNDDOWN(($A16+C$6)*(約款料金!$C$17+$J$4)+約款料金!$C$16,0),ROUNDDOWN(($A16+C$6)*(約款料金!$B$17+$J$4)+約款料金!$B$16,0)))</f>
        <v>5936</v>
      </c>
      <c r="D16" s="375">
        <f>IF(($A16+D$6)&gt;約款料金!$C$9,ROUNDDOWN(($A16+D$6)*(約款料金!$D$17+$J$4)+約款料金!$D$16,0),IF(($A16+D$6)&gt;約款料金!$B$9,ROUNDDOWN(($A16+D$6)*(約款料金!$C$17+$J$4)+約款料金!$C$16,0),ROUNDDOWN(($A16+D$6)*(約款料金!$B$17+$J$4)+約款料金!$B$16,0)))</f>
        <v>5985</v>
      </c>
      <c r="E16" s="375">
        <f>IF(($A16+E$6)&gt;約款料金!$C$9,ROUNDDOWN(($A16+E$6)*(約款料金!$D$17+$J$4)+約款料金!$D$16,0),IF(($A16+E$6)&gt;約款料金!$B$9,ROUNDDOWN(($A16+E$6)*(約款料金!$C$17+$J$4)+約款料金!$C$16,0),ROUNDDOWN(($A16+E$6)*(約款料金!$B$17+$J$4)+約款料金!$B$16,0)))</f>
        <v>6035</v>
      </c>
      <c r="F16" s="375">
        <f>IF(($A16+F$6)&gt;約款料金!$C$9,ROUNDDOWN(($A16+F$6)*(約款料金!$D$17+$J$4)+約款料金!$D$16,0),IF(($A16+F$6)&gt;約款料金!$B$9,ROUNDDOWN(($A16+F$6)*(約款料金!$C$17+$J$4)+約款料金!$C$16,0),ROUNDDOWN(($A16+F$6)*(約款料金!$B$17+$J$4)+約款料金!$B$16,0)))</f>
        <v>6084</v>
      </c>
      <c r="G16" s="375">
        <f>IF(($A16+G$6)&gt;約款料金!$C$9,ROUNDDOWN(($A16+G$6)*(約款料金!$D$17+$J$4)+約款料金!$D$16,0),IF(($A16+G$6)&gt;約款料金!$B$9,ROUNDDOWN(($A16+G$6)*(約款料金!$C$17+$J$4)+約款料金!$C$16,0),ROUNDDOWN(($A16+G$6)*(約款料金!$B$17+$J$4)+約款料金!$B$16,0)))</f>
        <v>6133</v>
      </c>
      <c r="H16" s="375">
        <f>IF(($A16+H$6)&gt;約款料金!$C$9,ROUNDDOWN(($A16+H$6)*(約款料金!$D$17+$J$4)+約款料金!$D$16,0),IF(($A16+H$6)&gt;約款料金!$B$9,ROUNDDOWN(($A16+H$6)*(約款料金!$C$17+$J$4)+約款料金!$C$16,0),ROUNDDOWN(($A16+H$6)*(約款料金!$B$17+$J$4)+約款料金!$B$16,0)))</f>
        <v>6183</v>
      </c>
      <c r="I16" s="375">
        <f>IF(($A16+I$6)&gt;約款料金!$C$9,ROUNDDOWN(($A16+I$6)*(約款料金!$D$17+$J$4)+約款料金!$D$16,0),IF(($A16+I$6)&gt;約款料金!$B$9,ROUNDDOWN(($A16+I$6)*(約款料金!$C$17+$J$4)+約款料金!$C$16,0),ROUNDDOWN(($A16+I$6)*(約款料金!$B$17+$J$4)+約款料金!$B$16,0)))</f>
        <v>6232</v>
      </c>
      <c r="J16" s="375">
        <f>IF(($A16+J$6)&gt;約款料金!$C$9,ROUNDDOWN(($A16+J$6)*(約款料金!$D$17+$J$4)+約款料金!$D$16,0),IF(($A16+J$6)&gt;約款料金!$B$9,ROUNDDOWN(($A16+J$6)*(約款料金!$C$17+$J$4)+約款料金!$C$16,0),ROUNDDOWN(($A16+J$6)*(約款料金!$B$17+$J$4)+約款料金!$B$16,0)))</f>
        <v>6281</v>
      </c>
      <c r="K16" s="376">
        <f>IF(($A16+K$6)&gt;約款料金!$C$9,ROUNDDOWN(($A16+K$6)*(約款料金!$D$17+$J$4)+約款料金!$D$16,0),IF(($A16+K$6)&gt;約款料金!$B$9,ROUNDDOWN(($A16+K$6)*(約款料金!$C$17+$J$4)+約款料金!$C$16,0),ROUNDDOWN(($A16+K$6)*(約款料金!$B$17+$J$4)+約款料金!$B$16,0)))</f>
        <v>6330</v>
      </c>
    </row>
    <row r="17" spans="1:11">
      <c r="A17" s="382">
        <v>10</v>
      </c>
      <c r="B17" s="371">
        <f>IF(($A17+B$6)&gt;約款料金!$C$9,ROUNDDOWN(($A17+B$6)*(約款料金!$D$17+$J$4)+約款料金!$D$16,0),IF(($A17+B$6)&gt;約款料金!$B$9,ROUNDDOWN(($A17+B$6)*(約款料金!$C$17+$J$4)+約款料金!$C$16,0),ROUNDDOWN(($A17+B$6)*(約款料金!$B$17+$J$4)+約款料金!$B$16,0)))</f>
        <v>6380</v>
      </c>
      <c r="C17" s="372">
        <f>IF(($A17+C$6)&gt;約款料金!$C$9,ROUNDDOWN(($A17+C$6)*(約款料金!$D$17+$J$4)+約款料金!$D$16,0),IF(($A17+C$6)&gt;約款料金!$B$9,ROUNDDOWN(($A17+C$6)*(約款料金!$C$17+$J$4)+約款料金!$C$16,0),ROUNDDOWN(($A17+C$6)*(約款料金!$B$17+$J$4)+約款料金!$B$16,0)))</f>
        <v>6429</v>
      </c>
      <c r="D17" s="372">
        <f>IF(($A17+D$6)&gt;約款料金!$C$9,ROUNDDOWN(($A17+D$6)*(約款料金!$D$17+$J$4)+約款料金!$D$16,0),IF(($A17+D$6)&gt;約款料金!$B$9,ROUNDDOWN(($A17+D$6)*(約款料金!$C$17+$J$4)+約款料金!$C$16,0),ROUNDDOWN(($A17+D$6)*(約款料金!$B$17+$J$4)+約款料金!$B$16,0)))</f>
        <v>6478</v>
      </c>
      <c r="E17" s="372">
        <f>IF(($A17+E$6)&gt;約款料金!$C$9,ROUNDDOWN(($A17+E$6)*(約款料金!$D$17+$J$4)+約款料金!$D$16,0),IF(($A17+E$6)&gt;約款料金!$B$9,ROUNDDOWN(($A17+E$6)*(約款料金!$C$17+$J$4)+約款料金!$C$16,0),ROUNDDOWN(($A17+E$6)*(約款料金!$B$17+$J$4)+約款料金!$B$16,0)))</f>
        <v>6528</v>
      </c>
      <c r="F17" s="372">
        <f>IF(($A17+F$6)&gt;約款料金!$C$9,ROUNDDOWN(($A17+F$6)*(約款料金!$D$17+$J$4)+約款料金!$D$16,0),IF(($A17+F$6)&gt;約款料金!$B$9,ROUNDDOWN(($A17+F$6)*(約款料金!$C$17+$J$4)+約款料金!$C$16,0),ROUNDDOWN(($A17+F$6)*(約款料金!$B$17+$J$4)+約款料金!$B$16,0)))</f>
        <v>6577</v>
      </c>
      <c r="G17" s="372">
        <f>IF(($A17+G$6)&gt;約款料金!$C$9,ROUNDDOWN(($A17+G$6)*(約款料金!$D$17+$J$4)+約款料金!$D$16,0),IF(($A17+G$6)&gt;約款料金!$B$9,ROUNDDOWN(($A17+G$6)*(約款料金!$C$17+$J$4)+約款料金!$C$16,0),ROUNDDOWN(($A17+G$6)*(約款料金!$B$17+$J$4)+約款料金!$B$16,0)))</f>
        <v>6626</v>
      </c>
      <c r="H17" s="372">
        <f>IF(($A17+H$6)&gt;約款料金!$C$9,ROUNDDOWN(($A17+H$6)*(約款料金!$D$17+$J$4)+約款料金!$D$16,0),IF(($A17+H$6)&gt;約款料金!$B$9,ROUNDDOWN(($A17+H$6)*(約款料金!$C$17+$J$4)+約款料金!$C$16,0),ROUNDDOWN(($A17+H$6)*(約款料金!$B$17+$J$4)+約款料金!$B$16,0)))</f>
        <v>6675</v>
      </c>
      <c r="I17" s="372">
        <f>IF(($A17+I$6)&gt;約款料金!$C$9,ROUNDDOWN(($A17+I$6)*(約款料金!$D$17+$J$4)+約款料金!$D$16,0),IF(($A17+I$6)&gt;約款料金!$B$9,ROUNDDOWN(($A17+I$6)*(約款料金!$C$17+$J$4)+約款料金!$C$16,0),ROUNDDOWN(($A17+I$6)*(約款料金!$B$17+$J$4)+約款料金!$B$16,0)))</f>
        <v>6725</v>
      </c>
      <c r="J17" s="372">
        <f>IF(($A17+J$6)&gt;約款料金!$C$9,ROUNDDOWN(($A17+J$6)*(約款料金!$D$17+$J$4)+約款料金!$D$16,0),IF(($A17+J$6)&gt;約款料金!$B$9,ROUNDDOWN(($A17+J$6)*(約款料金!$C$17+$J$4)+約款料金!$C$16,0),ROUNDDOWN(($A17+J$6)*(約款料金!$B$17+$J$4)+約款料金!$B$16,0)))</f>
        <v>6774</v>
      </c>
      <c r="K17" s="373">
        <f>IF(($A17+K$6)&gt;約款料金!$C$9,ROUNDDOWN(($A17+K$6)*(約款料金!$D$17+$J$4)+約款料金!$D$16,0),IF(($A17+K$6)&gt;約款料金!$B$9,ROUNDDOWN(($A17+K$6)*(約款料金!$C$17+$J$4)+約款料金!$C$16,0),ROUNDDOWN(($A17+K$6)*(約款料金!$B$17+$J$4)+約款料金!$B$16,0)))</f>
        <v>6823</v>
      </c>
    </row>
    <row r="18" spans="1:11">
      <c r="A18" s="379">
        <v>11</v>
      </c>
      <c r="B18" s="365">
        <f>IF(($A18+B$6)&gt;約款料金!$C$9,ROUNDDOWN(($A18+B$6)*(約款料金!$D$17+$J$4)+約款料金!$D$16,0),IF(($A18+B$6)&gt;約款料金!$B$9,ROUNDDOWN(($A18+B$6)*(約款料金!$C$17+$J$4)+約款料金!$C$16,0),ROUNDDOWN(($A18+B$6)*(約款料金!$B$17+$J$4)+約款料金!$B$16,0)))</f>
        <v>6873</v>
      </c>
      <c r="C18" s="360">
        <f>IF(($A18+C$6)&gt;約款料金!$C$9,ROUNDDOWN(($A18+C$6)*(約款料金!$D$17+$J$4)+約款料金!$D$16,0),IF(($A18+C$6)&gt;約款料金!$B$9,ROUNDDOWN(($A18+C$6)*(約款料金!$C$17+$J$4)+約款料金!$C$16,0),ROUNDDOWN(($A18+C$6)*(約款料金!$B$17+$J$4)+約款料金!$B$16,0)))</f>
        <v>6922</v>
      </c>
      <c r="D18" s="360">
        <f>IF(($A18+D$6)&gt;約款料金!$C$9,ROUNDDOWN(($A18+D$6)*(約款料金!$D$17+$J$4)+約款料金!$D$16,0),IF(($A18+D$6)&gt;約款料金!$B$9,ROUNDDOWN(($A18+D$6)*(約款料金!$C$17+$J$4)+約款料金!$C$16,0),ROUNDDOWN(($A18+D$6)*(約款料金!$B$17+$J$4)+約款料金!$B$16,0)))</f>
        <v>6971</v>
      </c>
      <c r="E18" s="360">
        <f>IF(($A18+E$6)&gt;約款料金!$C$9,ROUNDDOWN(($A18+E$6)*(約款料金!$D$17+$J$4)+約款料金!$D$16,0),IF(($A18+E$6)&gt;約款料金!$B$9,ROUNDDOWN(($A18+E$6)*(約款料金!$C$17+$J$4)+約款料金!$C$16,0),ROUNDDOWN(($A18+E$6)*(約款料金!$B$17+$J$4)+約款料金!$B$16,0)))</f>
        <v>7021</v>
      </c>
      <c r="F18" s="360">
        <f>IF(($A18+F$6)&gt;約款料金!$C$9,ROUNDDOWN(($A18+F$6)*(約款料金!$D$17+$J$4)+約款料金!$D$16,0),IF(($A18+F$6)&gt;約款料金!$B$9,ROUNDDOWN(($A18+F$6)*(約款料金!$C$17+$J$4)+約款料金!$C$16,0),ROUNDDOWN(($A18+F$6)*(約款料金!$B$17+$J$4)+約款料金!$B$16,0)))</f>
        <v>7070</v>
      </c>
      <c r="G18" s="360">
        <f>IF(($A18+G$6)&gt;約款料金!$C$9,ROUNDDOWN(($A18+G$6)*(約款料金!$D$17+$J$4)+約款料金!$D$16,0),IF(($A18+G$6)&gt;約款料金!$B$9,ROUNDDOWN(($A18+G$6)*(約款料金!$C$17+$J$4)+約款料金!$C$16,0),ROUNDDOWN(($A18+G$6)*(約款料金!$B$17+$J$4)+約款料金!$B$16,0)))</f>
        <v>7119</v>
      </c>
      <c r="H18" s="360">
        <f>IF(($A18+H$6)&gt;約款料金!$C$9,ROUNDDOWN(($A18+H$6)*(約款料金!$D$17+$J$4)+約款料金!$D$16,0),IF(($A18+H$6)&gt;約款料金!$B$9,ROUNDDOWN(($A18+H$6)*(約款料金!$C$17+$J$4)+約款料金!$C$16,0),ROUNDDOWN(($A18+H$6)*(約款料金!$B$17+$J$4)+約款料金!$B$16,0)))</f>
        <v>7168</v>
      </c>
      <c r="I18" s="360">
        <f>IF(($A18+I$6)&gt;約款料金!$C$9,ROUNDDOWN(($A18+I$6)*(約款料金!$D$17+$J$4)+約款料金!$D$16,0),IF(($A18+I$6)&gt;約款料金!$B$9,ROUNDDOWN(($A18+I$6)*(約款料金!$C$17+$J$4)+約款料金!$C$16,0),ROUNDDOWN(($A18+I$6)*(約款料金!$B$17+$J$4)+約款料金!$B$16,0)))</f>
        <v>7218</v>
      </c>
      <c r="J18" s="360">
        <f>IF(($A18+J$6)&gt;約款料金!$C$9,ROUNDDOWN(($A18+J$6)*(約款料金!$D$17+$J$4)+約款料金!$D$16,0),IF(($A18+J$6)&gt;約款料金!$B$9,ROUNDDOWN(($A18+J$6)*(約款料金!$C$17+$J$4)+約款料金!$C$16,0),ROUNDDOWN(($A18+J$6)*(約款料金!$B$17+$J$4)+約款料金!$B$16,0)))</f>
        <v>7267</v>
      </c>
      <c r="K18" s="366">
        <f>IF(($A18+K$6)&gt;約款料金!$C$9,ROUNDDOWN(($A18+K$6)*(約款料金!$D$17+$J$4)+約款料金!$D$16,0),IF(($A18+K$6)&gt;約款料金!$B$9,ROUNDDOWN(($A18+K$6)*(約款料金!$C$17+$J$4)+約款料金!$C$16,0),ROUNDDOWN(($A18+K$6)*(約款料金!$B$17+$J$4)+約款料金!$B$16,0)))</f>
        <v>7316</v>
      </c>
    </row>
    <row r="19" spans="1:11">
      <c r="A19" s="380">
        <v>12</v>
      </c>
      <c r="B19" s="365">
        <f>IF(($A19+B$6)&gt;約款料金!$C$9,ROUNDDOWN(($A19+B$6)*(約款料金!$D$17+$J$4)+約款料金!$D$16,0),IF(($A19+B$6)&gt;約款料金!$B$9,ROUNDDOWN(($A19+B$6)*(約款料金!$C$17+$J$4)+約款料金!$C$16,0),ROUNDDOWN(($A19+B$6)*(約款料金!$B$17+$J$4)+約款料金!$B$16,0)))</f>
        <v>7366</v>
      </c>
      <c r="C19" s="360">
        <f>IF(($A19+C$6)&gt;約款料金!$C$9,ROUNDDOWN(($A19+C$6)*(約款料金!$D$17+$J$4)+約款料金!$D$16,0),IF(($A19+C$6)&gt;約款料金!$B$9,ROUNDDOWN(($A19+C$6)*(約款料金!$C$17+$J$4)+約款料金!$C$16,0),ROUNDDOWN(($A19+C$6)*(約款料金!$B$17+$J$4)+約款料金!$B$16,0)))</f>
        <v>7415</v>
      </c>
      <c r="D19" s="360">
        <f>IF(($A19+D$6)&gt;約款料金!$C$9,ROUNDDOWN(($A19+D$6)*(約款料金!$D$17+$J$4)+約款料金!$D$16,0),IF(($A19+D$6)&gt;約款料金!$B$9,ROUNDDOWN(($A19+D$6)*(約款料金!$C$17+$J$4)+約款料金!$C$16,0),ROUNDDOWN(($A19+D$6)*(約款料金!$B$17+$J$4)+約款料金!$B$16,0)))</f>
        <v>7464</v>
      </c>
      <c r="E19" s="360">
        <f>IF(($A19+E$6)&gt;約款料金!$C$9,ROUNDDOWN(($A19+E$6)*(約款料金!$D$17+$J$4)+約款料金!$D$16,0),IF(($A19+E$6)&gt;約款料金!$B$9,ROUNDDOWN(($A19+E$6)*(約款料金!$C$17+$J$4)+約款料金!$C$16,0),ROUNDDOWN(($A19+E$6)*(約款料金!$B$17+$J$4)+約款料金!$B$16,0)))</f>
        <v>7513</v>
      </c>
      <c r="F19" s="360">
        <f>IF(($A19+F$6)&gt;約款料金!$C$9,ROUNDDOWN(($A19+F$6)*(約款料金!$D$17+$J$4)+約款料金!$D$16,0),IF(($A19+F$6)&gt;約款料金!$B$9,ROUNDDOWN(($A19+F$6)*(約款料金!$C$17+$J$4)+約款料金!$C$16,0),ROUNDDOWN(($A19+F$6)*(約款料金!$B$17+$J$4)+約款料金!$B$16,0)))</f>
        <v>7563</v>
      </c>
      <c r="G19" s="360">
        <f>IF(($A19+G$6)&gt;約款料金!$C$9,ROUNDDOWN(($A19+G$6)*(約款料金!$D$17+$J$4)+約款料金!$D$16,0),IF(($A19+G$6)&gt;約款料金!$B$9,ROUNDDOWN(($A19+G$6)*(約款料金!$C$17+$J$4)+約款料金!$C$16,0),ROUNDDOWN(($A19+G$6)*(約款料金!$B$17+$J$4)+約款料金!$B$16,0)))</f>
        <v>7612</v>
      </c>
      <c r="H19" s="360">
        <f>IF(($A19+H$6)&gt;約款料金!$C$9,ROUNDDOWN(($A19+H$6)*(約款料金!$D$17+$J$4)+約款料金!$D$16,0),IF(($A19+H$6)&gt;約款料金!$B$9,ROUNDDOWN(($A19+H$6)*(約款料金!$C$17+$J$4)+約款料金!$C$16,0),ROUNDDOWN(($A19+H$6)*(約款料金!$B$17+$J$4)+約款料金!$B$16,0)))</f>
        <v>7661</v>
      </c>
      <c r="I19" s="360">
        <f>IF(($A19+I$6)&gt;約款料金!$C$9,ROUNDDOWN(($A19+I$6)*(約款料金!$D$17+$J$4)+約款料金!$D$16,0),IF(($A19+I$6)&gt;約款料金!$B$9,ROUNDDOWN(($A19+I$6)*(約款料金!$C$17+$J$4)+約款料金!$C$16,0),ROUNDDOWN(($A19+I$6)*(約款料金!$B$17+$J$4)+約款料金!$B$16,0)))</f>
        <v>7711</v>
      </c>
      <c r="J19" s="360">
        <f>IF(($A19+J$6)&gt;約款料金!$C$9,ROUNDDOWN(($A19+J$6)*(約款料金!$D$17+$J$4)+約款料金!$D$16,0),IF(($A19+J$6)&gt;約款料金!$B$9,ROUNDDOWN(($A19+J$6)*(約款料金!$C$17+$J$4)+約款料金!$C$16,0),ROUNDDOWN(($A19+J$6)*(約款料金!$B$17+$J$4)+約款料金!$B$16,0)))</f>
        <v>7760</v>
      </c>
      <c r="K19" s="366">
        <f>IF(($A19+K$6)&gt;約款料金!$C$9,ROUNDDOWN(($A19+K$6)*(約款料金!$D$17+$J$4)+約款料金!$D$16,0),IF(($A19+K$6)&gt;約款料金!$B$9,ROUNDDOWN(($A19+K$6)*(約款料金!$C$17+$J$4)+約款料金!$C$16,0),ROUNDDOWN(($A19+K$6)*(約款料金!$B$17+$J$4)+約款料金!$B$16,0)))</f>
        <v>7809</v>
      </c>
    </row>
    <row r="20" spans="1:11">
      <c r="A20" s="380">
        <v>13</v>
      </c>
      <c r="B20" s="365">
        <f>IF(($A20+B$6)&gt;約款料金!$C$9,ROUNDDOWN(($A20+B$6)*(約款料金!$D$17+$J$4)+約款料金!$D$16,0),IF(($A20+B$6)&gt;約款料金!$B$9,ROUNDDOWN(($A20+B$6)*(約款料金!$C$17+$J$4)+約款料金!$C$16,0),ROUNDDOWN(($A20+B$6)*(約款料金!$B$17+$J$4)+約款料金!$B$16,0)))</f>
        <v>7858</v>
      </c>
      <c r="C20" s="360">
        <f>IF(($A20+C$6)&gt;約款料金!$C$9,ROUNDDOWN(($A20+C$6)*(約款料金!$D$17+$J$4)+約款料金!$D$16,0),IF(($A20+C$6)&gt;約款料金!$B$9,ROUNDDOWN(($A20+C$6)*(約款料金!$C$17+$J$4)+約款料金!$C$16,0),ROUNDDOWN(($A20+C$6)*(約款料金!$B$17+$J$4)+約款料金!$B$16,0)))</f>
        <v>7908</v>
      </c>
      <c r="D20" s="360">
        <f>IF(($A20+D$6)&gt;約款料金!$C$9,ROUNDDOWN(($A20+D$6)*(約款料金!$D$17+$J$4)+約款料金!$D$16,0),IF(($A20+D$6)&gt;約款料金!$B$9,ROUNDDOWN(($A20+D$6)*(約款料金!$C$17+$J$4)+約款料金!$C$16,0),ROUNDDOWN(($A20+D$6)*(約款料金!$B$17+$J$4)+約款料金!$B$16,0)))</f>
        <v>7957</v>
      </c>
      <c r="E20" s="360">
        <f>IF(($A20+E$6)&gt;約款料金!$C$9,ROUNDDOWN(($A20+E$6)*(約款料金!$D$17+$J$4)+約款料金!$D$16,0),IF(($A20+E$6)&gt;約款料金!$B$9,ROUNDDOWN(($A20+E$6)*(約款料金!$C$17+$J$4)+約款料金!$C$16,0),ROUNDDOWN(($A20+E$6)*(約款料金!$B$17+$J$4)+約款料金!$B$16,0)))</f>
        <v>8006</v>
      </c>
      <c r="F20" s="360">
        <f>IF(($A20+F$6)&gt;約款料金!$C$9,ROUNDDOWN(($A20+F$6)*(約款料金!$D$17+$J$4)+約款料金!$D$16,0),IF(($A20+F$6)&gt;約款料金!$B$9,ROUNDDOWN(($A20+F$6)*(約款料金!$C$17+$J$4)+約款料金!$C$16,0),ROUNDDOWN(($A20+F$6)*(約款料金!$B$17+$J$4)+約款料金!$B$16,0)))</f>
        <v>8056</v>
      </c>
      <c r="G20" s="360">
        <f>IF(($A20+G$6)&gt;約款料金!$C$9,ROUNDDOWN(($A20+G$6)*(約款料金!$D$17+$J$4)+約款料金!$D$16,0),IF(($A20+G$6)&gt;約款料金!$B$9,ROUNDDOWN(($A20+G$6)*(約款料金!$C$17+$J$4)+約款料金!$C$16,0),ROUNDDOWN(($A20+G$6)*(約款料金!$B$17+$J$4)+約款料金!$B$16,0)))</f>
        <v>8105</v>
      </c>
      <c r="H20" s="360">
        <f>IF(($A20+H$6)&gt;約款料金!$C$9,ROUNDDOWN(($A20+H$6)*(約款料金!$D$17+$J$4)+約款料金!$D$16,0),IF(($A20+H$6)&gt;約款料金!$B$9,ROUNDDOWN(($A20+H$6)*(約款料金!$C$17+$J$4)+約款料金!$C$16,0),ROUNDDOWN(($A20+H$6)*(約款料金!$B$17+$J$4)+約款料金!$B$16,0)))</f>
        <v>8154</v>
      </c>
      <c r="I20" s="360">
        <f>IF(($A20+I$6)&gt;約款料金!$C$9,ROUNDDOWN(($A20+I$6)*(約款料金!$D$17+$J$4)+約款料金!$D$16,0),IF(($A20+I$6)&gt;約款料金!$B$9,ROUNDDOWN(($A20+I$6)*(約款料金!$C$17+$J$4)+約款料金!$C$16,0),ROUNDDOWN(($A20+I$6)*(約款料金!$B$17+$J$4)+約款料金!$B$16,0)))</f>
        <v>8203</v>
      </c>
      <c r="J20" s="360">
        <f>IF(($A20+J$6)&gt;約款料金!$C$9,ROUNDDOWN(($A20+J$6)*(約款料金!$D$17+$J$4)+約款料金!$D$16,0),IF(($A20+J$6)&gt;約款料金!$B$9,ROUNDDOWN(($A20+J$6)*(約款料金!$C$17+$J$4)+約款料金!$C$16,0),ROUNDDOWN(($A20+J$6)*(約款料金!$B$17+$J$4)+約款料金!$B$16,0)))</f>
        <v>8253</v>
      </c>
      <c r="K20" s="366">
        <f>IF(($A20+K$6)&gt;約款料金!$C$9,ROUNDDOWN(($A20+K$6)*(約款料金!$D$17+$J$4)+約款料金!$D$16,0),IF(($A20+K$6)&gt;約款料金!$B$9,ROUNDDOWN(($A20+K$6)*(約款料金!$C$17+$J$4)+約款料金!$C$16,0),ROUNDDOWN(($A20+K$6)*(約款料金!$B$17+$J$4)+約款料金!$B$16,0)))</f>
        <v>8302</v>
      </c>
    </row>
    <row r="21" spans="1:11">
      <c r="A21" s="380">
        <v>14</v>
      </c>
      <c r="B21" s="365">
        <f>IF(($A21+B$6)&gt;約款料金!$C$9,ROUNDDOWN(($A21+B$6)*(約款料金!$D$17+$J$4)+約款料金!$D$16,0),IF(($A21+B$6)&gt;約款料金!$B$9,ROUNDDOWN(($A21+B$6)*(約款料金!$C$17+$J$4)+約款料金!$C$16,0),ROUNDDOWN(($A21+B$6)*(約款料金!$B$17+$J$4)+約款料金!$B$16,0)))</f>
        <v>8351</v>
      </c>
      <c r="C21" s="360">
        <f>IF(($A21+C$6)&gt;約款料金!$C$9,ROUNDDOWN(($A21+C$6)*(約款料金!$D$17+$J$4)+約款料金!$D$16,0),IF(($A21+C$6)&gt;約款料金!$B$9,ROUNDDOWN(($A21+C$6)*(約款料金!$C$17+$J$4)+約款料金!$C$16,0),ROUNDDOWN(($A21+C$6)*(約款料金!$B$17+$J$4)+約款料金!$B$16,0)))</f>
        <v>8401</v>
      </c>
      <c r="D21" s="360">
        <f>IF(($A21+D$6)&gt;約款料金!$C$9,ROUNDDOWN(($A21+D$6)*(約款料金!$D$17+$J$4)+約款料金!$D$16,0),IF(($A21+D$6)&gt;約款料金!$B$9,ROUNDDOWN(($A21+D$6)*(約款料金!$C$17+$J$4)+約款料金!$C$16,0),ROUNDDOWN(($A21+D$6)*(約款料金!$B$17+$J$4)+約款料金!$B$16,0)))</f>
        <v>8450</v>
      </c>
      <c r="E21" s="360">
        <f>IF(($A21+E$6)&gt;約款料金!$C$9,ROUNDDOWN(($A21+E$6)*(約款料金!$D$17+$J$4)+約款料金!$D$16,0),IF(($A21+E$6)&gt;約款料金!$B$9,ROUNDDOWN(($A21+E$6)*(約款料金!$C$17+$J$4)+約款料金!$C$16,0),ROUNDDOWN(($A21+E$6)*(約款料金!$B$17+$J$4)+約款料金!$B$16,0)))</f>
        <v>8499</v>
      </c>
      <c r="F21" s="360">
        <f>IF(($A21+F$6)&gt;約款料金!$C$9,ROUNDDOWN(($A21+F$6)*(約款料金!$D$17+$J$4)+約款料金!$D$16,0),IF(($A21+F$6)&gt;約款料金!$B$9,ROUNDDOWN(($A21+F$6)*(約款料金!$C$17+$J$4)+約款料金!$C$16,0),ROUNDDOWN(($A21+F$6)*(約款料金!$B$17+$J$4)+約款料金!$B$16,0)))</f>
        <v>8549</v>
      </c>
      <c r="G21" s="360">
        <f>IF(($A21+G$6)&gt;約款料金!$C$9,ROUNDDOWN(($A21+G$6)*(約款料金!$D$17+$J$4)+約款料金!$D$16,0),IF(($A21+G$6)&gt;約款料金!$B$9,ROUNDDOWN(($A21+G$6)*(約款料金!$C$17+$J$4)+約款料金!$C$16,0),ROUNDDOWN(($A21+G$6)*(約款料金!$B$17+$J$4)+約款料金!$B$16,0)))</f>
        <v>8598</v>
      </c>
      <c r="H21" s="360">
        <f>IF(($A21+H$6)&gt;約款料金!$C$9,ROUNDDOWN(($A21+H$6)*(約款料金!$D$17+$J$4)+約款料金!$D$16,0),IF(($A21+H$6)&gt;約款料金!$B$9,ROUNDDOWN(($A21+H$6)*(約款料金!$C$17+$J$4)+約款料金!$C$16,0),ROUNDDOWN(($A21+H$6)*(約款料金!$B$17+$J$4)+約款料金!$B$16,0)))</f>
        <v>8647</v>
      </c>
      <c r="I21" s="360">
        <f>IF(($A21+I$6)&gt;約款料金!$C$9,ROUNDDOWN(($A21+I$6)*(約款料金!$D$17+$J$4)+約款料金!$D$16,0),IF(($A21+I$6)&gt;約款料金!$B$9,ROUNDDOWN(($A21+I$6)*(約款料金!$C$17+$J$4)+約款料金!$C$16,0),ROUNDDOWN(($A21+I$6)*(約款料金!$B$17+$J$4)+約款料金!$B$16,0)))</f>
        <v>8696</v>
      </c>
      <c r="J21" s="360">
        <f>IF(($A21+J$6)&gt;約款料金!$C$9,ROUNDDOWN(($A21+J$6)*(約款料金!$D$17+$J$4)+約款料金!$D$16,0),IF(($A21+J$6)&gt;約款料金!$B$9,ROUNDDOWN(($A21+J$6)*(約款料金!$C$17+$J$4)+約款料金!$C$16,0),ROUNDDOWN(($A21+J$6)*(約款料金!$B$17+$J$4)+約款料金!$B$16,0)))</f>
        <v>8746</v>
      </c>
      <c r="K21" s="366">
        <f>IF(($A21+K$6)&gt;約款料金!$C$9,ROUNDDOWN(($A21+K$6)*(約款料金!$D$17+$J$4)+約款料金!$D$16,0),IF(($A21+K$6)&gt;約款料金!$B$9,ROUNDDOWN(($A21+K$6)*(約款料金!$C$17+$J$4)+約款料金!$C$16,0),ROUNDDOWN(($A21+K$6)*(約款料金!$B$17+$J$4)+約款料金!$B$16,0)))</f>
        <v>8795</v>
      </c>
    </row>
    <row r="22" spans="1:11">
      <c r="A22" s="382">
        <v>15</v>
      </c>
      <c r="B22" s="371">
        <f>IF(($A22+B$6)&gt;約款料金!$C$9,ROUNDDOWN(($A22+B$6)*(約款料金!$D$17+$J$4)+約款料金!$D$16,0),IF(($A22+B$6)&gt;約款料金!$B$9,ROUNDDOWN(($A22+B$6)*(約款料金!$C$17+$J$4)+約款料金!$C$16,0),ROUNDDOWN(($A22+B$6)*(約款料金!$B$17+$J$4)+約款料金!$B$16,0)))</f>
        <v>8844</v>
      </c>
      <c r="C22" s="372">
        <f>IF(($A22+C$6)&gt;約款料金!$C$9,ROUNDDOWN(($A22+C$6)*(約款料金!$D$17+$J$4)+約款料金!$D$16,0),IF(($A22+C$6)&gt;約款料金!$B$9,ROUNDDOWN(($A22+C$6)*(約款料金!$C$17+$J$4)+約款料金!$C$16,0),ROUNDDOWN(($A22+C$6)*(約款料金!$B$17+$J$4)+約款料金!$B$16,0)))</f>
        <v>8894</v>
      </c>
      <c r="D22" s="372">
        <f>IF(($A22+D$6)&gt;約款料金!$C$9,ROUNDDOWN(($A22+D$6)*(約款料金!$D$17+$J$4)+約款料金!$D$16,0),IF(($A22+D$6)&gt;約款料金!$B$9,ROUNDDOWN(($A22+D$6)*(約款料金!$C$17+$J$4)+約款料金!$C$16,0),ROUNDDOWN(($A22+D$6)*(約款料金!$B$17+$J$4)+約款料金!$B$16,0)))</f>
        <v>8943</v>
      </c>
      <c r="E22" s="372">
        <f>IF(($A22+E$6)&gt;約款料金!$C$9,ROUNDDOWN(($A22+E$6)*(約款料金!$D$17+$J$4)+約款料金!$D$16,0),IF(($A22+E$6)&gt;約款料金!$B$9,ROUNDDOWN(($A22+E$6)*(約款料金!$C$17+$J$4)+約款料金!$C$16,0),ROUNDDOWN(($A22+E$6)*(約款料金!$B$17+$J$4)+約款料金!$B$16,0)))</f>
        <v>8992</v>
      </c>
      <c r="F22" s="372">
        <f>IF(($A22+F$6)&gt;約款料金!$C$9,ROUNDDOWN(($A22+F$6)*(約款料金!$D$17+$J$4)+約款料金!$D$16,0),IF(($A22+F$6)&gt;約款料金!$B$9,ROUNDDOWN(($A22+F$6)*(約款料金!$C$17+$J$4)+約款料金!$C$16,0),ROUNDDOWN(($A22+F$6)*(約款料金!$B$17+$J$4)+約款料金!$B$16,0)))</f>
        <v>9041</v>
      </c>
      <c r="G22" s="372">
        <f>IF(($A22+G$6)&gt;約款料金!$C$9,ROUNDDOWN(($A22+G$6)*(約款料金!$D$17+$J$4)+約款料金!$D$16,0),IF(($A22+G$6)&gt;約款料金!$B$9,ROUNDDOWN(($A22+G$6)*(約款料金!$C$17+$J$4)+約款料金!$C$16,0),ROUNDDOWN(($A22+G$6)*(約款料金!$B$17+$J$4)+約款料金!$B$16,0)))</f>
        <v>9091</v>
      </c>
      <c r="H22" s="372">
        <f>IF(($A22+H$6)&gt;約款料金!$C$9,ROUNDDOWN(($A22+H$6)*(約款料金!$D$17+$J$4)+約款料金!$D$16,0),IF(($A22+H$6)&gt;約款料金!$B$9,ROUNDDOWN(($A22+H$6)*(約款料金!$C$17+$J$4)+約款料金!$C$16,0),ROUNDDOWN(($A22+H$6)*(約款料金!$B$17+$J$4)+約款料金!$B$16,0)))</f>
        <v>9140</v>
      </c>
      <c r="I22" s="372">
        <f>IF(($A22+I$6)&gt;約款料金!$C$9,ROUNDDOWN(($A22+I$6)*(約款料金!$D$17+$J$4)+約款料金!$D$16,0),IF(($A22+I$6)&gt;約款料金!$B$9,ROUNDDOWN(($A22+I$6)*(約款料金!$C$17+$J$4)+約款料金!$C$16,0),ROUNDDOWN(($A22+I$6)*(約款料金!$B$17+$J$4)+約款料金!$B$16,0)))</f>
        <v>9189</v>
      </c>
      <c r="J22" s="372">
        <f>IF(($A22+J$6)&gt;約款料金!$C$9,ROUNDDOWN(($A22+J$6)*(約款料金!$D$17+$J$4)+約款料金!$D$16,0),IF(($A22+J$6)&gt;約款料金!$B$9,ROUNDDOWN(($A22+J$6)*(約款料金!$C$17+$J$4)+約款料金!$C$16,0),ROUNDDOWN(($A22+J$6)*(約款料金!$B$17+$J$4)+約款料金!$B$16,0)))</f>
        <v>9239</v>
      </c>
      <c r="K22" s="373">
        <f>IF(($A22+K$6)&gt;約款料金!$C$9,ROUNDDOWN(($A22+K$6)*(約款料金!$D$17+$J$4)+約款料金!$D$16,0),IF(($A22+K$6)&gt;約款料金!$B$9,ROUNDDOWN(($A22+K$6)*(約款料金!$C$17+$J$4)+約款料金!$C$16,0),ROUNDDOWN(($A22+K$6)*(約款料金!$B$17+$J$4)+約款料金!$B$16,0)))</f>
        <v>9288</v>
      </c>
    </row>
    <row r="23" spans="1:11">
      <c r="A23" s="379">
        <v>16</v>
      </c>
      <c r="B23" s="365">
        <f>IF(($A23+B$6)&gt;約款料金!$C$9,ROUNDDOWN(($A23+B$6)*(約款料金!$D$17+$J$4)+約款料金!$D$16,0),IF(($A23+B$6)&gt;約款料金!$B$9,ROUNDDOWN(($A23+B$6)*(約款料金!$C$17+$J$4)+約款料金!$C$16,0),ROUNDDOWN(($A23+B$6)*(約款料金!$B$17+$J$4)+約款料金!$B$16,0)))</f>
        <v>9337</v>
      </c>
      <c r="C23" s="360">
        <f>IF(($A23+C$6)&gt;約款料金!$C$9,ROUNDDOWN(($A23+C$6)*(約款料金!$D$17+$J$4)+約款料金!$D$16,0),IF(($A23+C$6)&gt;約款料金!$B$9,ROUNDDOWN(($A23+C$6)*(約款料金!$C$17+$J$4)+約款料金!$C$16,0),ROUNDDOWN(($A23+C$6)*(約款料金!$B$17+$J$4)+約款料金!$B$16,0)))</f>
        <v>9386</v>
      </c>
      <c r="D23" s="360">
        <f>IF(($A23+D$6)&gt;約款料金!$C$9,ROUNDDOWN(($A23+D$6)*(約款料金!$D$17+$J$4)+約款料金!$D$16,0),IF(($A23+D$6)&gt;約款料金!$B$9,ROUNDDOWN(($A23+D$6)*(約款料金!$C$17+$J$4)+約款料金!$C$16,0),ROUNDDOWN(($A23+D$6)*(約款料金!$B$17+$J$4)+約款料金!$B$16,0)))</f>
        <v>9436</v>
      </c>
      <c r="E23" s="360">
        <f>IF(($A23+E$6)&gt;約款料金!$C$9,ROUNDDOWN(($A23+E$6)*(約款料金!$D$17+$J$4)+約款料金!$D$16,0),IF(($A23+E$6)&gt;約款料金!$B$9,ROUNDDOWN(($A23+E$6)*(約款料金!$C$17+$J$4)+約款料金!$C$16,0),ROUNDDOWN(($A23+E$6)*(約款料金!$B$17+$J$4)+約款料金!$B$16,0)))</f>
        <v>9485</v>
      </c>
      <c r="F23" s="360">
        <f>IF(($A23+F$6)&gt;約款料金!$C$9,ROUNDDOWN(($A23+F$6)*(約款料金!$D$17+$J$4)+約款料金!$D$16,0),IF(($A23+F$6)&gt;約款料金!$B$9,ROUNDDOWN(($A23+F$6)*(約款料金!$C$17+$J$4)+約款料金!$C$16,0),ROUNDDOWN(($A23+F$6)*(約款料金!$B$17+$J$4)+約款料金!$B$16,0)))</f>
        <v>9534</v>
      </c>
      <c r="G23" s="360">
        <f>IF(($A23+G$6)&gt;約款料金!$C$9,ROUNDDOWN(($A23+G$6)*(約款料金!$D$17+$J$4)+約款料金!$D$16,0),IF(($A23+G$6)&gt;約款料金!$B$9,ROUNDDOWN(($A23+G$6)*(約款料金!$C$17+$J$4)+約款料金!$C$16,0),ROUNDDOWN(($A23+G$6)*(約款料金!$B$17+$J$4)+約款料金!$B$16,0)))</f>
        <v>9584</v>
      </c>
      <c r="H23" s="360">
        <f>IF(($A23+H$6)&gt;約款料金!$C$9,ROUNDDOWN(($A23+H$6)*(約款料金!$D$17+$J$4)+約款料金!$D$16,0),IF(($A23+H$6)&gt;約款料金!$B$9,ROUNDDOWN(($A23+H$6)*(約款料金!$C$17+$J$4)+約款料金!$C$16,0),ROUNDDOWN(($A23+H$6)*(約款料金!$B$17+$J$4)+約款料金!$B$16,0)))</f>
        <v>9633</v>
      </c>
      <c r="I23" s="360">
        <f>IF(($A23+I$6)&gt;約款料金!$C$9,ROUNDDOWN(($A23+I$6)*(約款料金!$D$17+$J$4)+約款料金!$D$16,0),IF(($A23+I$6)&gt;約款料金!$B$9,ROUNDDOWN(($A23+I$6)*(約款料金!$C$17+$J$4)+約款料金!$C$16,0),ROUNDDOWN(($A23+I$6)*(約款料金!$B$17+$J$4)+約款料金!$B$16,0)))</f>
        <v>9682</v>
      </c>
      <c r="J23" s="360">
        <f>IF(($A23+J$6)&gt;約款料金!$C$9,ROUNDDOWN(($A23+J$6)*(約款料金!$D$17+$J$4)+約款料金!$D$16,0),IF(($A23+J$6)&gt;約款料金!$B$9,ROUNDDOWN(($A23+J$6)*(約款料金!$C$17+$J$4)+約款料金!$C$16,0),ROUNDDOWN(($A23+J$6)*(約款料金!$B$17+$J$4)+約款料金!$B$16,0)))</f>
        <v>9732</v>
      </c>
      <c r="K23" s="366">
        <f>IF(($A23+K$6)&gt;約款料金!$C$9,ROUNDDOWN(($A23+K$6)*(約款料金!$D$17+$J$4)+約款料金!$D$16,0),IF(($A23+K$6)&gt;約款料金!$B$9,ROUNDDOWN(($A23+K$6)*(約款料金!$C$17+$J$4)+約款料金!$C$16,0),ROUNDDOWN(($A23+K$6)*(約款料金!$B$17+$J$4)+約款料金!$B$16,0)))</f>
        <v>9781</v>
      </c>
    </row>
    <row r="24" spans="1:11">
      <c r="A24" s="380">
        <v>17</v>
      </c>
      <c r="B24" s="365">
        <f>IF(($A24+B$6)&gt;約款料金!$C$9,ROUNDDOWN(($A24+B$6)*(約款料金!$D$17+$J$4)+約款料金!$D$16,0),IF(($A24+B$6)&gt;約款料金!$B$9,ROUNDDOWN(($A24+B$6)*(約款料金!$C$17+$J$4)+約款料金!$C$16,0),ROUNDDOWN(($A24+B$6)*(約款料金!$B$17+$J$4)+約款料金!$B$16,0)))</f>
        <v>9830</v>
      </c>
      <c r="C24" s="360">
        <f>IF(($A24+C$6)&gt;約款料金!$C$9,ROUNDDOWN(($A24+C$6)*(約款料金!$D$17+$J$4)+約款料金!$D$16,0),IF(($A24+C$6)&gt;約款料金!$B$9,ROUNDDOWN(($A24+C$6)*(約款料金!$C$17+$J$4)+約款料金!$C$16,0),ROUNDDOWN(($A24+C$6)*(約款料金!$B$17+$J$4)+約款料金!$B$16,0)))</f>
        <v>9879</v>
      </c>
      <c r="D24" s="360">
        <f>IF(($A24+D$6)&gt;約款料金!$C$9,ROUNDDOWN(($A24+D$6)*(約款料金!$D$17+$J$4)+約款料金!$D$16,0),IF(($A24+D$6)&gt;約款料金!$B$9,ROUNDDOWN(($A24+D$6)*(約款料金!$C$17+$J$4)+約款料金!$C$16,0),ROUNDDOWN(($A24+D$6)*(約款料金!$B$17+$J$4)+約款料金!$B$16,0)))</f>
        <v>9929</v>
      </c>
      <c r="E24" s="360">
        <f>IF(($A24+E$6)&gt;約款料金!$C$9,ROUNDDOWN(($A24+E$6)*(約款料金!$D$17+$J$4)+約款料金!$D$16,0),IF(($A24+E$6)&gt;約款料金!$B$9,ROUNDDOWN(($A24+E$6)*(約款料金!$C$17+$J$4)+約款料金!$C$16,0),ROUNDDOWN(($A24+E$6)*(約款料金!$B$17+$J$4)+約款料金!$B$16,0)))</f>
        <v>9978</v>
      </c>
      <c r="F24" s="360">
        <f>IF(($A24+F$6)&gt;約款料金!$C$9,ROUNDDOWN(($A24+F$6)*(約款料金!$D$17+$J$4)+約款料金!$D$16,0),IF(($A24+F$6)&gt;約款料金!$B$9,ROUNDDOWN(($A24+F$6)*(約款料金!$C$17+$J$4)+約款料金!$C$16,0),ROUNDDOWN(($A24+F$6)*(約款料金!$B$17+$J$4)+約款料金!$B$16,0)))</f>
        <v>10027</v>
      </c>
      <c r="G24" s="360">
        <f>IF(($A24+G$6)&gt;約款料金!$C$9,ROUNDDOWN(($A24+G$6)*(約款料金!$D$17+$J$4)+約款料金!$D$16,0),IF(($A24+G$6)&gt;約款料金!$B$9,ROUNDDOWN(($A24+G$6)*(約款料金!$C$17+$J$4)+約款料金!$C$16,0),ROUNDDOWN(($A24+G$6)*(約款料金!$B$17+$J$4)+約款料金!$B$16,0)))</f>
        <v>10077</v>
      </c>
      <c r="H24" s="360">
        <f>IF(($A24+H$6)&gt;約款料金!$C$9,ROUNDDOWN(($A24+H$6)*(約款料金!$D$17+$J$4)+約款料金!$D$16,0),IF(($A24+H$6)&gt;約款料金!$B$9,ROUNDDOWN(($A24+H$6)*(約款料金!$C$17+$J$4)+約款料金!$C$16,0),ROUNDDOWN(($A24+H$6)*(約款料金!$B$17+$J$4)+約款料金!$B$16,0)))</f>
        <v>10126</v>
      </c>
      <c r="I24" s="360">
        <f>IF(($A24+I$6)&gt;約款料金!$C$9,ROUNDDOWN(($A24+I$6)*(約款料金!$D$17+$J$4)+約款料金!$D$16,0),IF(($A24+I$6)&gt;約款料金!$B$9,ROUNDDOWN(($A24+I$6)*(約款料金!$C$17+$J$4)+約款料金!$C$16,0),ROUNDDOWN(($A24+I$6)*(約款料金!$B$17+$J$4)+約款料金!$B$16,0)))</f>
        <v>10175</v>
      </c>
      <c r="J24" s="360">
        <f>IF(($A24+J$6)&gt;約款料金!$C$9,ROUNDDOWN(($A24+J$6)*(約款料金!$D$17+$J$4)+約款料金!$D$16,0),IF(($A24+J$6)&gt;約款料金!$B$9,ROUNDDOWN(($A24+J$6)*(約款料金!$C$17+$J$4)+約款料金!$C$16,0),ROUNDDOWN(($A24+J$6)*(約款料金!$B$17+$J$4)+約款料金!$B$16,0)))</f>
        <v>10224</v>
      </c>
      <c r="K24" s="366">
        <f>IF(($A24+K$6)&gt;約款料金!$C$9,ROUNDDOWN(($A24+K$6)*(約款料金!$D$17+$J$4)+約款料金!$D$16,0),IF(($A24+K$6)&gt;約款料金!$B$9,ROUNDDOWN(($A24+K$6)*(約款料金!$C$17+$J$4)+約款料金!$C$16,0),ROUNDDOWN(($A24+K$6)*(約款料金!$B$17+$J$4)+約款料金!$B$16,0)))</f>
        <v>10274</v>
      </c>
    </row>
    <row r="25" spans="1:11">
      <c r="A25" s="380">
        <v>18</v>
      </c>
      <c r="B25" s="365">
        <f>IF(($A25+B$6)&gt;約款料金!$C$9,ROUNDDOWN(($A25+B$6)*(約款料金!$D$17+$J$4)+約款料金!$D$16,0),IF(($A25+B$6)&gt;約款料金!$B$9,ROUNDDOWN(($A25+B$6)*(約款料金!$C$17+$J$4)+約款料金!$C$16,0),ROUNDDOWN(($A25+B$6)*(約款料金!$B$17+$J$4)+約款料金!$B$16,0)))</f>
        <v>10323</v>
      </c>
      <c r="C25" s="360">
        <f>IF(($A25+C$6)&gt;約款料金!$C$9,ROUNDDOWN(($A25+C$6)*(約款料金!$D$17+$J$4)+約款料金!$D$16,0),IF(($A25+C$6)&gt;約款料金!$B$9,ROUNDDOWN(($A25+C$6)*(約款料金!$C$17+$J$4)+約款料金!$C$16,0),ROUNDDOWN(($A25+C$6)*(約款料金!$B$17+$J$4)+約款料金!$B$16,0)))</f>
        <v>10372</v>
      </c>
      <c r="D25" s="360">
        <f>IF(($A25+D$6)&gt;約款料金!$C$9,ROUNDDOWN(($A25+D$6)*(約款料金!$D$17+$J$4)+約款料金!$D$16,0),IF(($A25+D$6)&gt;約款料金!$B$9,ROUNDDOWN(($A25+D$6)*(約款料金!$C$17+$J$4)+約款料金!$C$16,0),ROUNDDOWN(($A25+D$6)*(約款料金!$B$17+$J$4)+約款料金!$B$16,0)))</f>
        <v>10422</v>
      </c>
      <c r="E25" s="360">
        <f>IF(($A25+E$6)&gt;約款料金!$C$9,ROUNDDOWN(($A25+E$6)*(約款料金!$D$17+$J$4)+約款料金!$D$16,0),IF(($A25+E$6)&gt;約款料金!$B$9,ROUNDDOWN(($A25+E$6)*(約款料金!$C$17+$J$4)+約款料金!$C$16,0),ROUNDDOWN(($A25+E$6)*(約款料金!$B$17+$J$4)+約款料金!$B$16,0)))</f>
        <v>10471</v>
      </c>
      <c r="F25" s="360">
        <f>IF(($A25+F$6)&gt;約款料金!$C$9,ROUNDDOWN(($A25+F$6)*(約款料金!$D$17+$J$4)+約款料金!$D$16,0),IF(($A25+F$6)&gt;約款料金!$B$9,ROUNDDOWN(($A25+F$6)*(約款料金!$C$17+$J$4)+約款料金!$C$16,0),ROUNDDOWN(($A25+F$6)*(約款料金!$B$17+$J$4)+約款料金!$B$16,0)))</f>
        <v>10520</v>
      </c>
      <c r="G25" s="360">
        <f>IF(($A25+G$6)&gt;約款料金!$C$9,ROUNDDOWN(($A25+G$6)*(約款料金!$D$17+$J$4)+約款料金!$D$16,0),IF(($A25+G$6)&gt;約款料金!$B$9,ROUNDDOWN(($A25+G$6)*(約款料金!$C$17+$J$4)+約款料金!$C$16,0),ROUNDDOWN(($A25+G$6)*(約款料金!$B$17+$J$4)+約款料金!$B$16,0)))</f>
        <v>10569</v>
      </c>
      <c r="H25" s="360">
        <f>IF(($A25+H$6)&gt;約款料金!$C$9,ROUNDDOWN(($A25+H$6)*(約款料金!$D$17+$J$4)+約款料金!$D$16,0),IF(($A25+H$6)&gt;約款料金!$B$9,ROUNDDOWN(($A25+H$6)*(約款料金!$C$17+$J$4)+約款料金!$C$16,0),ROUNDDOWN(($A25+H$6)*(約款料金!$B$17+$J$4)+約款料金!$B$16,0)))</f>
        <v>10619</v>
      </c>
      <c r="I25" s="360">
        <f>IF(($A25+I$6)&gt;約款料金!$C$9,ROUNDDOWN(($A25+I$6)*(約款料金!$D$17+$J$4)+約款料金!$D$16,0),IF(($A25+I$6)&gt;約款料金!$B$9,ROUNDDOWN(($A25+I$6)*(約款料金!$C$17+$J$4)+約款料金!$C$16,0),ROUNDDOWN(($A25+I$6)*(約款料金!$B$17+$J$4)+約款料金!$B$16,0)))</f>
        <v>10668</v>
      </c>
      <c r="J25" s="360">
        <f>IF(($A25+J$6)&gt;約款料金!$C$9,ROUNDDOWN(($A25+J$6)*(約款料金!$D$17+$J$4)+約款料金!$D$16,0),IF(($A25+J$6)&gt;約款料金!$B$9,ROUNDDOWN(($A25+J$6)*(約款料金!$C$17+$J$4)+約款料金!$C$16,0),ROUNDDOWN(($A25+J$6)*(約款料金!$B$17+$J$4)+約款料金!$B$16,0)))</f>
        <v>10717</v>
      </c>
      <c r="K25" s="366">
        <f>IF(($A25+K$6)&gt;約款料金!$C$9,ROUNDDOWN(($A25+K$6)*(約款料金!$D$17+$J$4)+約款料金!$D$16,0),IF(($A25+K$6)&gt;約款料金!$B$9,ROUNDDOWN(($A25+K$6)*(約款料金!$C$17+$J$4)+約款料金!$C$16,0),ROUNDDOWN(($A25+K$6)*(約款料金!$B$17+$J$4)+約款料金!$B$16,0)))</f>
        <v>10767</v>
      </c>
    </row>
    <row r="26" spans="1:11">
      <c r="A26" s="380">
        <v>19</v>
      </c>
      <c r="B26" s="365">
        <f>IF(($A26+B$6)&gt;約款料金!$C$9,ROUNDDOWN(($A26+B$6)*(約款料金!$D$17+$J$4)+約款料金!$D$16,0),IF(($A26+B$6)&gt;約款料金!$B$9,ROUNDDOWN(($A26+B$6)*(約款料金!$C$17+$J$4)+約款料金!$C$16,0),ROUNDDOWN(($A26+B$6)*(約款料金!$B$17+$J$4)+約款料金!$B$16,0)))</f>
        <v>10816</v>
      </c>
      <c r="C26" s="360">
        <f>IF(($A26+C$6)&gt;約款料金!$C$9,ROUNDDOWN(($A26+C$6)*(約款料金!$D$17+$J$4)+約款料金!$D$16,0),IF(($A26+C$6)&gt;約款料金!$B$9,ROUNDDOWN(($A26+C$6)*(約款料金!$C$17+$J$4)+約款料金!$C$16,0),ROUNDDOWN(($A26+C$6)*(約款料金!$B$17+$J$4)+約款料金!$B$16,0)))</f>
        <v>10865</v>
      </c>
      <c r="D26" s="360">
        <f>IF(($A26+D$6)&gt;約款料金!$C$9,ROUNDDOWN(($A26+D$6)*(約款料金!$D$17+$J$4)+約款料金!$D$16,0),IF(($A26+D$6)&gt;約款料金!$B$9,ROUNDDOWN(($A26+D$6)*(約款料金!$C$17+$J$4)+約款料金!$C$16,0),ROUNDDOWN(($A26+D$6)*(約款料金!$B$17+$J$4)+約款料金!$B$16,0)))</f>
        <v>10914</v>
      </c>
      <c r="E26" s="360">
        <f>IF(($A26+E$6)&gt;約款料金!$C$9,ROUNDDOWN(($A26+E$6)*(約款料金!$D$17+$J$4)+約款料金!$D$16,0),IF(($A26+E$6)&gt;約款料金!$B$9,ROUNDDOWN(($A26+E$6)*(約款料金!$C$17+$J$4)+約款料金!$C$16,0),ROUNDDOWN(($A26+E$6)*(約款料金!$B$17+$J$4)+約款料金!$B$16,0)))</f>
        <v>10964</v>
      </c>
      <c r="F26" s="360">
        <f>IF(($A26+F$6)&gt;約款料金!$C$9,ROUNDDOWN(($A26+F$6)*(約款料金!$D$17+$J$4)+約款料金!$D$16,0),IF(($A26+F$6)&gt;約款料金!$B$9,ROUNDDOWN(($A26+F$6)*(約款料金!$C$17+$J$4)+約款料金!$C$16,0),ROUNDDOWN(($A26+F$6)*(約款料金!$B$17+$J$4)+約款料金!$B$16,0)))</f>
        <v>11013</v>
      </c>
      <c r="G26" s="360">
        <f>IF(($A26+G$6)&gt;約款料金!$C$9,ROUNDDOWN(($A26+G$6)*(約款料金!$D$17+$J$4)+約款料金!$D$16,0),IF(($A26+G$6)&gt;約款料金!$B$9,ROUNDDOWN(($A26+G$6)*(約款料金!$C$17+$J$4)+約款料金!$C$16,0),ROUNDDOWN(($A26+G$6)*(約款料金!$B$17+$J$4)+約款料金!$B$16,0)))</f>
        <v>11062</v>
      </c>
      <c r="H26" s="360">
        <f>IF(($A26+H$6)&gt;約款料金!$C$9,ROUNDDOWN(($A26+H$6)*(約款料金!$D$17+$J$4)+約款料金!$D$16,0),IF(($A26+H$6)&gt;約款料金!$B$9,ROUNDDOWN(($A26+H$6)*(約款料金!$C$17+$J$4)+約款料金!$C$16,0),ROUNDDOWN(($A26+H$6)*(約款料金!$B$17+$J$4)+約款料金!$B$16,0)))</f>
        <v>11112</v>
      </c>
      <c r="I26" s="360">
        <f>IF(($A26+I$6)&gt;約款料金!$C$9,ROUNDDOWN(($A26+I$6)*(約款料金!$D$17+$J$4)+約款料金!$D$16,0),IF(($A26+I$6)&gt;約款料金!$B$9,ROUNDDOWN(($A26+I$6)*(約款料金!$C$17+$J$4)+約款料金!$C$16,0),ROUNDDOWN(($A26+I$6)*(約款料金!$B$17+$J$4)+約款料金!$B$16,0)))</f>
        <v>11161</v>
      </c>
      <c r="J26" s="360">
        <f>IF(($A26+J$6)&gt;約款料金!$C$9,ROUNDDOWN(($A26+J$6)*(約款料金!$D$17+$J$4)+約款料金!$D$16,0),IF(($A26+J$6)&gt;約款料金!$B$9,ROUNDDOWN(($A26+J$6)*(約款料金!$C$17+$J$4)+約款料金!$C$16,0),ROUNDDOWN(($A26+J$6)*(約款料金!$B$17+$J$4)+約款料金!$B$16,0)))</f>
        <v>11210</v>
      </c>
      <c r="K26" s="366">
        <f>IF(($A26+K$6)&gt;約款料金!$C$9,ROUNDDOWN(($A26+K$6)*(約款料金!$D$17+$J$4)+約款料金!$D$16,0),IF(($A26+K$6)&gt;約款料金!$B$9,ROUNDDOWN(($A26+K$6)*(約款料金!$C$17+$J$4)+約款料金!$C$16,0),ROUNDDOWN(($A26+K$6)*(約款料金!$B$17+$J$4)+約款料金!$B$16,0)))</f>
        <v>11260</v>
      </c>
    </row>
    <row r="27" spans="1:11">
      <c r="A27" s="382">
        <v>20</v>
      </c>
      <c r="B27" s="371">
        <f>IF(($A27+B$6)&gt;約款料金!$C$9,ROUNDDOWN(($A27+B$6)*(約款料金!$D$17+$J$4)+約款料金!$D$16,0),IF(($A27+B$6)&gt;約款料金!$B$9,ROUNDDOWN(($A27+B$6)*(約款料金!$C$17+$J$4)+約款料金!$C$16,0),ROUNDDOWN(($A27+B$6)*(約款料金!$B$17+$J$4)+約款料金!$B$16,0)))</f>
        <v>11309</v>
      </c>
      <c r="C27" s="372">
        <f>IF(($A27+C$6)&gt;約款料金!$C$9,ROUNDDOWN(($A27+C$6)*(約款料金!$D$17+$J$4)+約款料金!$D$16,0),IF(($A27+C$6)&gt;約款料金!$B$9,ROUNDDOWN(($A27+C$6)*(約款料金!$C$17+$J$4)+約款料金!$C$16,0),ROUNDDOWN(($A27+C$6)*(約款料金!$B$17+$J$4)+約款料金!$B$16,0)))</f>
        <v>11358</v>
      </c>
      <c r="D27" s="372">
        <f>IF(($A27+D$6)&gt;約款料金!$C$9,ROUNDDOWN(($A27+D$6)*(約款料金!$D$17+$J$4)+約款料金!$D$16,0),IF(($A27+D$6)&gt;約款料金!$B$9,ROUNDDOWN(($A27+D$6)*(約款料金!$C$17+$J$4)+約款料金!$C$16,0),ROUNDDOWN(($A27+D$6)*(約款料金!$B$17+$J$4)+約款料金!$B$16,0)))</f>
        <v>11407</v>
      </c>
      <c r="E27" s="372">
        <f>IF(($A27+E$6)&gt;約款料金!$C$9,ROUNDDOWN(($A27+E$6)*(約款料金!$D$17+$J$4)+約款料金!$D$16,0),IF(($A27+E$6)&gt;約款料金!$B$9,ROUNDDOWN(($A27+E$6)*(約款料金!$C$17+$J$4)+約款料金!$C$16,0),ROUNDDOWN(($A27+E$6)*(約款料金!$B$17+$J$4)+約款料金!$B$16,0)))</f>
        <v>11457</v>
      </c>
      <c r="F27" s="372">
        <f>IF(($A27+F$6)&gt;約款料金!$C$9,ROUNDDOWN(($A27+F$6)*(約款料金!$D$17+$J$4)+約款料金!$D$16,0),IF(($A27+F$6)&gt;約款料金!$B$9,ROUNDDOWN(($A27+F$6)*(約款料金!$C$17+$J$4)+約款料金!$C$16,0),ROUNDDOWN(($A27+F$6)*(約款料金!$B$17+$J$4)+約款料金!$B$16,0)))</f>
        <v>11506</v>
      </c>
      <c r="G27" s="372">
        <f>IF(($A27+G$6)&gt;約款料金!$C$9,ROUNDDOWN(($A27+G$6)*(約款料金!$D$17+$J$4)+約款料金!$D$16,0),IF(($A27+G$6)&gt;約款料金!$B$9,ROUNDDOWN(($A27+G$6)*(約款料金!$C$17+$J$4)+約款料金!$C$16,0),ROUNDDOWN(($A27+G$6)*(約款料金!$B$17+$J$4)+約款料金!$B$16,0)))</f>
        <v>11555</v>
      </c>
      <c r="H27" s="372">
        <f>IF(($A27+H$6)&gt;約款料金!$C$9,ROUNDDOWN(($A27+H$6)*(約款料金!$D$17+$J$4)+約款料金!$D$16,0),IF(($A27+H$6)&gt;約款料金!$B$9,ROUNDDOWN(($A27+H$6)*(約款料金!$C$17+$J$4)+約款料金!$C$16,0),ROUNDDOWN(($A27+H$6)*(約款料金!$B$17+$J$4)+約款料金!$B$16,0)))</f>
        <v>11605</v>
      </c>
      <c r="I27" s="372">
        <f>IF(($A27+I$6)&gt;約款料金!$C$9,ROUNDDOWN(($A27+I$6)*(約款料金!$D$17+$J$4)+約款料金!$D$16,0),IF(($A27+I$6)&gt;約款料金!$B$9,ROUNDDOWN(($A27+I$6)*(約款料金!$C$17+$J$4)+約款料金!$C$16,0),ROUNDDOWN(($A27+I$6)*(約款料金!$B$17+$J$4)+約款料金!$B$16,0)))</f>
        <v>11654</v>
      </c>
      <c r="J27" s="372">
        <f>IF(($A27+J$6)&gt;約款料金!$C$9,ROUNDDOWN(($A27+J$6)*(約款料金!$D$17+$J$4)+約款料金!$D$16,0),IF(($A27+J$6)&gt;約款料金!$B$9,ROUNDDOWN(($A27+J$6)*(約款料金!$C$17+$J$4)+約款料金!$C$16,0),ROUNDDOWN(($A27+J$6)*(約款料金!$B$17+$J$4)+約款料金!$B$16,0)))</f>
        <v>11703</v>
      </c>
      <c r="K27" s="373">
        <f>IF(($A27+K$6)&gt;約款料金!$C$9,ROUNDDOWN(($A27+K$6)*(約款料金!$D$17+$J$4)+約款料金!$D$16,0),IF(($A27+K$6)&gt;約款料金!$B$9,ROUNDDOWN(($A27+K$6)*(約款料金!$C$17+$J$4)+約款料金!$C$16,0),ROUNDDOWN(($A27+K$6)*(約款料金!$B$17+$J$4)+約款料金!$B$16,0)))</f>
        <v>11752</v>
      </c>
    </row>
    <row r="28" spans="1:11">
      <c r="A28" s="379">
        <v>21</v>
      </c>
      <c r="B28" s="365">
        <f>IF(($A28+B$6)&gt;約款料金!$C$9,ROUNDDOWN(($A28+B$6)*(約款料金!$D$17+$J$4)+約款料金!$D$16,0),IF(($A28+B$6)&gt;約款料金!$B$9,ROUNDDOWN(($A28+B$6)*(約款料金!$C$17+$J$4)+約款料金!$C$16,0),ROUNDDOWN(($A28+B$6)*(約款料金!$B$17+$J$4)+約款料金!$B$16,0)))</f>
        <v>11802</v>
      </c>
      <c r="C28" s="360">
        <f>IF(($A28+C$6)&gt;約款料金!$C$9,ROUNDDOWN(($A28+C$6)*(約款料金!$D$17+$J$4)+約款料金!$D$16,0),IF(($A28+C$6)&gt;約款料金!$B$9,ROUNDDOWN(($A28+C$6)*(約款料金!$C$17+$J$4)+約款料金!$C$16,0),ROUNDDOWN(($A28+C$6)*(約款料金!$B$17+$J$4)+約款料金!$B$16,0)))</f>
        <v>11851</v>
      </c>
      <c r="D28" s="360">
        <f>IF(($A28+D$6)&gt;約款料金!$C$9,ROUNDDOWN(($A28+D$6)*(約款料金!$D$17+$J$4)+約款料金!$D$16,0),IF(($A28+D$6)&gt;約款料金!$B$9,ROUNDDOWN(($A28+D$6)*(約款料金!$C$17+$J$4)+約款料金!$C$16,0),ROUNDDOWN(($A28+D$6)*(約款料金!$B$17+$J$4)+約款料金!$B$16,0)))</f>
        <v>11900</v>
      </c>
      <c r="E28" s="360">
        <f>IF(($A28+E$6)&gt;約款料金!$C$9,ROUNDDOWN(($A28+E$6)*(約款料金!$D$17+$J$4)+約款料金!$D$16,0),IF(($A28+E$6)&gt;約款料金!$B$9,ROUNDDOWN(($A28+E$6)*(約款料金!$C$17+$J$4)+約款料金!$C$16,0),ROUNDDOWN(($A28+E$6)*(約款料金!$B$17+$J$4)+約款料金!$B$16,0)))</f>
        <v>11950</v>
      </c>
      <c r="F28" s="360">
        <f>IF(($A28+F$6)&gt;約款料金!$C$9,ROUNDDOWN(($A28+F$6)*(約款料金!$D$17+$J$4)+約款料金!$D$16,0),IF(($A28+F$6)&gt;約款料金!$B$9,ROUNDDOWN(($A28+F$6)*(約款料金!$C$17+$J$4)+約款料金!$C$16,0),ROUNDDOWN(($A28+F$6)*(約款料金!$B$17+$J$4)+約款料金!$B$16,0)))</f>
        <v>11999</v>
      </c>
      <c r="G28" s="360">
        <f>IF(($A28+G$6)&gt;約款料金!$C$9,ROUNDDOWN(($A28+G$6)*(約款料金!$D$17+$J$4)+約款料金!$D$16,0),IF(($A28+G$6)&gt;約款料金!$B$9,ROUNDDOWN(($A28+G$6)*(約款料金!$C$17+$J$4)+約款料金!$C$16,0),ROUNDDOWN(($A28+G$6)*(約款料金!$B$17+$J$4)+約款料金!$B$16,0)))</f>
        <v>12048</v>
      </c>
      <c r="H28" s="360">
        <f>IF(($A28+H$6)&gt;約款料金!$C$9,ROUNDDOWN(($A28+H$6)*(約款料金!$D$17+$J$4)+約款料金!$D$16,0),IF(($A28+H$6)&gt;約款料金!$B$9,ROUNDDOWN(($A28+H$6)*(約款料金!$C$17+$J$4)+約款料金!$C$16,0),ROUNDDOWN(($A28+H$6)*(約款料金!$B$17+$J$4)+約款料金!$B$16,0)))</f>
        <v>12097</v>
      </c>
      <c r="I28" s="360">
        <f>IF(($A28+I$6)&gt;約款料金!$C$9,ROUNDDOWN(($A28+I$6)*(約款料金!$D$17+$J$4)+約款料金!$D$16,0),IF(($A28+I$6)&gt;約款料金!$B$9,ROUNDDOWN(($A28+I$6)*(約款料金!$C$17+$J$4)+約款料金!$C$16,0),ROUNDDOWN(($A28+I$6)*(約款料金!$B$17+$J$4)+約款料金!$B$16,0)))</f>
        <v>12147</v>
      </c>
      <c r="J28" s="360">
        <f>IF(($A28+J$6)&gt;約款料金!$C$9,ROUNDDOWN(($A28+J$6)*(約款料金!$D$17+$J$4)+約款料金!$D$16,0),IF(($A28+J$6)&gt;約款料金!$B$9,ROUNDDOWN(($A28+J$6)*(約款料金!$C$17+$J$4)+約款料金!$C$16,0),ROUNDDOWN(($A28+J$6)*(約款料金!$B$17+$J$4)+約款料金!$B$16,0)))</f>
        <v>12196</v>
      </c>
      <c r="K28" s="366">
        <f>IF(($A28+K$6)&gt;約款料金!$C$9,ROUNDDOWN(($A28+K$6)*(約款料金!$D$17+$J$4)+約款料金!$D$16,0),IF(($A28+K$6)&gt;約款料金!$B$9,ROUNDDOWN(($A28+K$6)*(約款料金!$C$17+$J$4)+約款料金!$C$16,0),ROUNDDOWN(($A28+K$6)*(約款料金!$B$17+$J$4)+約款料金!$B$16,0)))</f>
        <v>12245</v>
      </c>
    </row>
    <row r="29" spans="1:11">
      <c r="A29" s="380">
        <v>22</v>
      </c>
      <c r="B29" s="365">
        <f>IF(($A29+B$6)&gt;約款料金!$C$9,ROUNDDOWN(($A29+B$6)*(約款料金!$D$17+$J$4)+約款料金!$D$16,0),IF(($A29+B$6)&gt;約款料金!$B$9,ROUNDDOWN(($A29+B$6)*(約款料金!$C$17+$J$4)+約款料金!$C$16,0),ROUNDDOWN(($A29+B$6)*(約款料金!$B$17+$J$4)+約款料金!$B$16,0)))</f>
        <v>12295</v>
      </c>
      <c r="C29" s="360">
        <f>IF(($A29+C$6)&gt;約款料金!$C$9,ROUNDDOWN(($A29+C$6)*(約款料金!$D$17+$J$4)+約款料金!$D$16,0),IF(($A29+C$6)&gt;約款料金!$B$9,ROUNDDOWN(($A29+C$6)*(約款料金!$C$17+$J$4)+約款料金!$C$16,0),ROUNDDOWN(($A29+C$6)*(約款料金!$B$17+$J$4)+約款料金!$B$16,0)))</f>
        <v>12344</v>
      </c>
      <c r="D29" s="360">
        <f>IF(($A29+D$6)&gt;約款料金!$C$9,ROUNDDOWN(($A29+D$6)*(約款料金!$D$17+$J$4)+約款料金!$D$16,0),IF(($A29+D$6)&gt;約款料金!$B$9,ROUNDDOWN(($A29+D$6)*(約款料金!$C$17+$J$4)+約款料金!$C$16,0),ROUNDDOWN(($A29+D$6)*(約款料金!$B$17+$J$4)+約款料金!$B$16,0)))</f>
        <v>12393</v>
      </c>
      <c r="E29" s="360">
        <f>IF(($A29+E$6)&gt;約款料金!$C$9,ROUNDDOWN(($A29+E$6)*(約款料金!$D$17+$J$4)+約款料金!$D$16,0),IF(($A29+E$6)&gt;約款料金!$B$9,ROUNDDOWN(($A29+E$6)*(約款料金!$C$17+$J$4)+約款料金!$C$16,0),ROUNDDOWN(($A29+E$6)*(約款料金!$B$17+$J$4)+約款料金!$B$16,0)))</f>
        <v>12443</v>
      </c>
      <c r="F29" s="360">
        <f>IF(($A29+F$6)&gt;約款料金!$C$9,ROUNDDOWN(($A29+F$6)*(約款料金!$D$17+$J$4)+約款料金!$D$16,0),IF(($A29+F$6)&gt;約款料金!$B$9,ROUNDDOWN(($A29+F$6)*(約款料金!$C$17+$J$4)+約款料金!$C$16,0),ROUNDDOWN(($A29+F$6)*(約款料金!$B$17+$J$4)+約款料金!$B$16,0)))</f>
        <v>12492</v>
      </c>
      <c r="G29" s="360">
        <f>IF(($A29+G$6)&gt;約款料金!$C$9,ROUNDDOWN(($A29+G$6)*(約款料金!$D$17+$J$4)+約款料金!$D$16,0),IF(($A29+G$6)&gt;約款料金!$B$9,ROUNDDOWN(($A29+G$6)*(約款料金!$C$17+$J$4)+約款料金!$C$16,0),ROUNDDOWN(($A29+G$6)*(約款料金!$B$17+$J$4)+約款料金!$B$16,0)))</f>
        <v>12541</v>
      </c>
      <c r="H29" s="360">
        <f>IF(($A29+H$6)&gt;約款料金!$C$9,ROUNDDOWN(($A29+H$6)*(約款料金!$D$17+$J$4)+約款料金!$D$16,0),IF(($A29+H$6)&gt;約款料金!$B$9,ROUNDDOWN(($A29+H$6)*(約款料金!$C$17+$J$4)+約款料金!$C$16,0),ROUNDDOWN(($A29+H$6)*(約款料金!$B$17+$J$4)+約款料金!$B$16,0)))</f>
        <v>12590</v>
      </c>
      <c r="I29" s="360">
        <f>IF(($A29+I$6)&gt;約款料金!$C$9,ROUNDDOWN(($A29+I$6)*(約款料金!$D$17+$J$4)+約款料金!$D$16,0),IF(($A29+I$6)&gt;約款料金!$B$9,ROUNDDOWN(($A29+I$6)*(約款料金!$C$17+$J$4)+約款料金!$C$16,0),ROUNDDOWN(($A29+I$6)*(約款料金!$B$17+$J$4)+約款料金!$B$16,0)))</f>
        <v>12640</v>
      </c>
      <c r="J29" s="360">
        <f>IF(($A29+J$6)&gt;約款料金!$C$9,ROUNDDOWN(($A29+J$6)*(約款料金!$D$17+$J$4)+約款料金!$D$16,0),IF(($A29+J$6)&gt;約款料金!$B$9,ROUNDDOWN(($A29+J$6)*(約款料金!$C$17+$J$4)+約款料金!$C$16,0),ROUNDDOWN(($A29+J$6)*(約款料金!$B$17+$J$4)+約款料金!$B$16,0)))</f>
        <v>12689</v>
      </c>
      <c r="K29" s="366">
        <f>IF(($A29+K$6)&gt;約款料金!$C$9,ROUNDDOWN(($A29+K$6)*(約款料金!$D$17+$J$4)+約款料金!$D$16,0),IF(($A29+K$6)&gt;約款料金!$B$9,ROUNDDOWN(($A29+K$6)*(約款料金!$C$17+$J$4)+約款料金!$C$16,0),ROUNDDOWN(($A29+K$6)*(約款料金!$B$17+$J$4)+約款料金!$B$16,0)))</f>
        <v>12738</v>
      </c>
    </row>
    <row r="30" spans="1:11">
      <c r="A30" s="380">
        <v>23</v>
      </c>
      <c r="B30" s="365">
        <f>IF(($A30+B$6)&gt;約款料金!$C$9,ROUNDDOWN(($A30+B$6)*(約款料金!$D$17+$J$4)+約款料金!$D$16,0),IF(($A30+B$6)&gt;約款料金!$B$9,ROUNDDOWN(($A30+B$6)*(約款料金!$C$17+$J$4)+約款料金!$C$16,0),ROUNDDOWN(($A30+B$6)*(約款料金!$B$17+$J$4)+約款料金!$B$16,0)))</f>
        <v>12788</v>
      </c>
      <c r="C30" s="360">
        <f>IF(($A30+C$6)&gt;約款料金!$C$9,ROUNDDOWN(($A30+C$6)*(約款料金!$D$17+$J$4)+約款料金!$D$16,0),IF(($A30+C$6)&gt;約款料金!$B$9,ROUNDDOWN(($A30+C$6)*(約款料金!$C$17+$J$4)+約款料金!$C$16,0),ROUNDDOWN(($A30+C$6)*(約款料金!$B$17+$J$4)+約款料金!$B$16,0)))</f>
        <v>12837</v>
      </c>
      <c r="D30" s="360">
        <f>IF(($A30+D$6)&gt;約款料金!$C$9,ROUNDDOWN(($A30+D$6)*(約款料金!$D$17+$J$4)+約款料金!$D$16,0),IF(($A30+D$6)&gt;約款料金!$B$9,ROUNDDOWN(($A30+D$6)*(約款料金!$C$17+$J$4)+約款料金!$C$16,0),ROUNDDOWN(($A30+D$6)*(約款料金!$B$17+$J$4)+約款料金!$B$16,0)))</f>
        <v>12886</v>
      </c>
      <c r="E30" s="360">
        <f>IF(($A30+E$6)&gt;約款料金!$C$9,ROUNDDOWN(($A30+E$6)*(約款料金!$D$17+$J$4)+約款料金!$D$16,0),IF(($A30+E$6)&gt;約款料金!$B$9,ROUNDDOWN(($A30+E$6)*(約款料金!$C$17+$J$4)+約款料金!$C$16,0),ROUNDDOWN(($A30+E$6)*(約款料金!$B$17+$J$4)+約款料金!$B$16,0)))</f>
        <v>12935</v>
      </c>
      <c r="F30" s="360">
        <f>IF(($A30+F$6)&gt;約款料金!$C$9,ROUNDDOWN(($A30+F$6)*(約款料金!$D$17+$J$4)+約款料金!$D$16,0),IF(($A30+F$6)&gt;約款料金!$B$9,ROUNDDOWN(($A30+F$6)*(約款料金!$C$17+$J$4)+約款料金!$C$16,0),ROUNDDOWN(($A30+F$6)*(約款料金!$B$17+$J$4)+約款料金!$B$16,0)))</f>
        <v>12985</v>
      </c>
      <c r="G30" s="360">
        <f>IF(($A30+G$6)&gt;約款料金!$C$9,ROUNDDOWN(($A30+G$6)*(約款料金!$D$17+$J$4)+約款料金!$D$16,0),IF(($A30+G$6)&gt;約款料金!$B$9,ROUNDDOWN(($A30+G$6)*(約款料金!$C$17+$J$4)+約款料金!$C$16,0),ROUNDDOWN(($A30+G$6)*(約款料金!$B$17+$J$4)+約款料金!$B$16,0)))</f>
        <v>13034</v>
      </c>
      <c r="H30" s="360">
        <f>IF(($A30+H$6)&gt;約款料金!$C$9,ROUNDDOWN(($A30+H$6)*(約款料金!$D$17+$J$4)+約款料金!$D$16,0),IF(($A30+H$6)&gt;約款料金!$B$9,ROUNDDOWN(($A30+H$6)*(約款料金!$C$17+$J$4)+約款料金!$C$16,0),ROUNDDOWN(($A30+H$6)*(約款料金!$B$17+$J$4)+約款料金!$B$16,0)))</f>
        <v>13083</v>
      </c>
      <c r="I30" s="360">
        <f>IF(($A30+I$6)&gt;約款料金!$C$9,ROUNDDOWN(($A30+I$6)*(約款料金!$D$17+$J$4)+約款料金!$D$16,0),IF(($A30+I$6)&gt;約款料金!$B$9,ROUNDDOWN(($A30+I$6)*(約款料金!$C$17+$J$4)+約款料金!$C$16,0),ROUNDDOWN(($A30+I$6)*(約款料金!$B$17+$J$4)+約款料金!$B$16,0)))</f>
        <v>13133</v>
      </c>
      <c r="J30" s="360">
        <f>IF(($A30+J$6)&gt;約款料金!$C$9,ROUNDDOWN(($A30+J$6)*(約款料金!$D$17+$J$4)+約款料金!$D$16,0),IF(($A30+J$6)&gt;約款料金!$B$9,ROUNDDOWN(($A30+J$6)*(約款料金!$C$17+$J$4)+約款料金!$C$16,0),ROUNDDOWN(($A30+J$6)*(約款料金!$B$17+$J$4)+約款料金!$B$16,0)))</f>
        <v>13182</v>
      </c>
      <c r="K30" s="366">
        <f>IF(($A30+K$6)&gt;約款料金!$C$9,ROUNDDOWN(($A30+K$6)*(約款料金!$D$17+$J$4)+約款料金!$D$16,0),IF(($A30+K$6)&gt;約款料金!$B$9,ROUNDDOWN(($A30+K$6)*(約款料金!$C$17+$J$4)+約款料金!$C$16,0),ROUNDDOWN(($A30+K$6)*(約款料金!$B$17+$J$4)+約款料金!$B$16,0)))</f>
        <v>13231</v>
      </c>
    </row>
    <row r="31" spans="1:11">
      <c r="A31" s="380">
        <v>24</v>
      </c>
      <c r="B31" s="365">
        <f>IF(($A31+B$6)&gt;約款料金!$C$9,ROUNDDOWN(($A31+B$6)*(約款料金!$D$17+$J$4)+約款料金!$D$16,0),IF(($A31+B$6)&gt;約款料金!$B$9,ROUNDDOWN(($A31+B$6)*(約款料金!$C$17+$J$4)+約款料金!$C$16,0),ROUNDDOWN(($A31+B$6)*(約款料金!$B$17+$J$4)+約款料金!$B$16,0)))</f>
        <v>13280</v>
      </c>
      <c r="C31" s="360">
        <f>IF(($A31+C$6)&gt;約款料金!$C$9,ROUNDDOWN(($A31+C$6)*(約款料金!$D$17+$J$4)+約款料金!$D$16,0),IF(($A31+C$6)&gt;約款料金!$B$9,ROUNDDOWN(($A31+C$6)*(約款料金!$C$17+$J$4)+約款料金!$C$16,0),ROUNDDOWN(($A31+C$6)*(約款料金!$B$17+$J$4)+約款料金!$B$16,0)))</f>
        <v>13330</v>
      </c>
      <c r="D31" s="360">
        <f>IF(($A31+D$6)&gt;約款料金!$C$9,ROUNDDOWN(($A31+D$6)*(約款料金!$D$17+$J$4)+約款料金!$D$16,0),IF(($A31+D$6)&gt;約款料金!$B$9,ROUNDDOWN(($A31+D$6)*(約款料金!$C$17+$J$4)+約款料金!$C$16,0),ROUNDDOWN(($A31+D$6)*(約款料金!$B$17+$J$4)+約款料金!$B$16,0)))</f>
        <v>13379</v>
      </c>
      <c r="E31" s="360">
        <f>IF(($A31+E$6)&gt;約款料金!$C$9,ROUNDDOWN(($A31+E$6)*(約款料金!$D$17+$J$4)+約款料金!$D$16,0),IF(($A31+E$6)&gt;約款料金!$B$9,ROUNDDOWN(($A31+E$6)*(約款料金!$C$17+$J$4)+約款料金!$C$16,0),ROUNDDOWN(($A31+E$6)*(約款料金!$B$17+$J$4)+約款料金!$B$16,0)))</f>
        <v>13428</v>
      </c>
      <c r="F31" s="360">
        <f>IF(($A31+F$6)&gt;約款料金!$C$9,ROUNDDOWN(($A31+F$6)*(約款料金!$D$17+$J$4)+約款料金!$D$16,0),IF(($A31+F$6)&gt;約款料金!$B$9,ROUNDDOWN(($A31+F$6)*(約款料金!$C$17+$J$4)+約款料金!$C$16,0),ROUNDDOWN(($A31+F$6)*(約款料金!$B$17+$J$4)+約款料金!$B$16,0)))</f>
        <v>13478</v>
      </c>
      <c r="G31" s="360">
        <f>IF(($A31+G$6)&gt;約款料金!$C$9,ROUNDDOWN(($A31+G$6)*(約款料金!$D$17+$J$4)+約款料金!$D$16,0),IF(($A31+G$6)&gt;約款料金!$B$9,ROUNDDOWN(($A31+G$6)*(約款料金!$C$17+$J$4)+約款料金!$C$16,0),ROUNDDOWN(($A31+G$6)*(約款料金!$B$17+$J$4)+約款料金!$B$16,0)))</f>
        <v>13527</v>
      </c>
      <c r="H31" s="360">
        <f>IF(($A31+H$6)&gt;約款料金!$C$9,ROUNDDOWN(($A31+H$6)*(約款料金!$D$17+$J$4)+約款料金!$D$16,0),IF(($A31+H$6)&gt;約款料金!$B$9,ROUNDDOWN(($A31+H$6)*(約款料金!$C$17+$J$4)+約款料金!$C$16,0),ROUNDDOWN(($A31+H$6)*(約款料金!$B$17+$J$4)+約款料金!$B$16,0)))</f>
        <v>13576</v>
      </c>
      <c r="I31" s="360">
        <f>IF(($A31+I$6)&gt;約款料金!$C$9,ROUNDDOWN(($A31+I$6)*(約款料金!$D$17+$J$4)+約款料金!$D$16,0),IF(($A31+I$6)&gt;約款料金!$B$9,ROUNDDOWN(($A31+I$6)*(約款料金!$C$17+$J$4)+約款料金!$C$16,0),ROUNDDOWN(($A31+I$6)*(約款料金!$B$17+$J$4)+約款料金!$B$16,0)))</f>
        <v>13625</v>
      </c>
      <c r="J31" s="360">
        <f>IF(($A31+J$6)&gt;約款料金!$C$9,ROUNDDOWN(($A31+J$6)*(約款料金!$D$17+$J$4)+約款料金!$D$16,0),IF(($A31+J$6)&gt;約款料金!$B$9,ROUNDDOWN(($A31+J$6)*(約款料金!$C$17+$J$4)+約款料金!$C$16,0),ROUNDDOWN(($A31+J$6)*(約款料金!$B$17+$J$4)+約款料金!$B$16,0)))</f>
        <v>13675</v>
      </c>
      <c r="K31" s="366">
        <f>IF(($A31+K$6)&gt;約款料金!$C$9,ROUNDDOWN(($A31+K$6)*(約款料金!$D$17+$J$4)+約款料金!$D$16,0),IF(($A31+K$6)&gt;約款料金!$B$9,ROUNDDOWN(($A31+K$6)*(約款料金!$C$17+$J$4)+約款料金!$C$16,0),ROUNDDOWN(($A31+K$6)*(約款料金!$B$17+$J$4)+約款料金!$B$16,0)))</f>
        <v>13724</v>
      </c>
    </row>
    <row r="32" spans="1:11">
      <c r="A32" s="382">
        <v>25</v>
      </c>
      <c r="B32" s="371">
        <f>IF(($A32+B$6)&gt;約款料金!$C$9,ROUNDDOWN(($A32+B$6)*(約款料金!$D$17+$J$4)+約款料金!$D$16,0),IF(($A32+B$6)&gt;約款料金!$B$9,ROUNDDOWN(($A32+B$6)*(約款料金!$C$17+$J$4)+約款料金!$C$16,0),ROUNDDOWN(($A32+B$6)*(約款料金!$B$17+$J$4)+約款料金!$B$16,0)))</f>
        <v>13773</v>
      </c>
      <c r="C32" s="372">
        <f>IF(($A32+C$6)&gt;約款料金!$C$9,ROUNDDOWN(($A32+C$6)*(約款料金!$D$17+$J$4)+約款料金!$D$16,0),IF(($A32+C$6)&gt;約款料金!$B$9,ROUNDDOWN(($A32+C$6)*(約款料金!$C$17+$J$4)+約款料金!$C$16,0),ROUNDDOWN(($A32+C$6)*(約款料金!$B$17+$J$4)+約款料金!$B$16,0)))</f>
        <v>13823</v>
      </c>
      <c r="D32" s="372">
        <f>IF(($A32+D$6)&gt;約款料金!$C$9,ROUNDDOWN(($A32+D$6)*(約款料金!$D$17+$J$4)+約款料金!$D$16,0),IF(($A32+D$6)&gt;約款料金!$B$9,ROUNDDOWN(($A32+D$6)*(約款料金!$C$17+$J$4)+約款料金!$C$16,0),ROUNDDOWN(($A32+D$6)*(約款料金!$B$17+$J$4)+約款料金!$B$16,0)))</f>
        <v>13872</v>
      </c>
      <c r="E32" s="372">
        <f>IF(($A32+E$6)&gt;約款料金!$C$9,ROUNDDOWN(($A32+E$6)*(約款料金!$D$17+$J$4)+約款料金!$D$16,0),IF(($A32+E$6)&gt;約款料金!$B$9,ROUNDDOWN(($A32+E$6)*(約款料金!$C$17+$J$4)+約款料金!$C$16,0),ROUNDDOWN(($A32+E$6)*(約款料金!$B$17+$J$4)+約款料金!$B$16,0)))</f>
        <v>13921</v>
      </c>
      <c r="F32" s="372">
        <f>IF(($A32+F$6)&gt;約款料金!$C$9,ROUNDDOWN(($A32+F$6)*(約款料金!$D$17+$J$4)+約款料金!$D$16,0),IF(($A32+F$6)&gt;約款料金!$B$9,ROUNDDOWN(($A32+F$6)*(約款料金!$C$17+$J$4)+約款料金!$C$16,0),ROUNDDOWN(($A32+F$6)*(約款料金!$B$17+$J$4)+約款料金!$B$16,0)))</f>
        <v>13971</v>
      </c>
      <c r="G32" s="372">
        <f>IF(($A32+G$6)&gt;約款料金!$C$9,ROUNDDOWN(($A32+G$6)*(約款料金!$D$17+$J$4)+約款料金!$D$16,0),IF(($A32+G$6)&gt;約款料金!$B$9,ROUNDDOWN(($A32+G$6)*(約款料金!$C$17+$J$4)+約款料金!$C$16,0),ROUNDDOWN(($A32+G$6)*(約款料金!$B$17+$J$4)+約款料金!$B$16,0)))</f>
        <v>14020</v>
      </c>
      <c r="H32" s="372">
        <f>IF(($A32+H$6)&gt;約款料金!$C$9,ROUNDDOWN(($A32+H$6)*(約款料金!$D$17+$J$4)+約款料金!$D$16,0),IF(($A32+H$6)&gt;約款料金!$B$9,ROUNDDOWN(($A32+H$6)*(約款料金!$C$17+$J$4)+約款料金!$C$16,0),ROUNDDOWN(($A32+H$6)*(約款料金!$B$17+$J$4)+約款料金!$B$16,0)))</f>
        <v>14069</v>
      </c>
      <c r="I32" s="372">
        <f>IF(($A32+I$6)&gt;約款料金!$C$9,ROUNDDOWN(($A32+I$6)*(約款料金!$D$17+$J$4)+約款料金!$D$16,0),IF(($A32+I$6)&gt;約款料金!$B$9,ROUNDDOWN(($A32+I$6)*(約款料金!$C$17+$J$4)+約款料金!$C$16,0),ROUNDDOWN(($A32+I$6)*(約款料金!$B$17+$J$4)+約款料金!$B$16,0)))</f>
        <v>14118</v>
      </c>
      <c r="J32" s="372">
        <f>IF(($A32+J$6)&gt;約款料金!$C$9,ROUNDDOWN(($A32+J$6)*(約款料金!$D$17+$J$4)+約款料金!$D$16,0),IF(($A32+J$6)&gt;約款料金!$B$9,ROUNDDOWN(($A32+J$6)*(約款料金!$C$17+$J$4)+約款料金!$C$16,0),ROUNDDOWN(($A32+J$6)*(約款料金!$B$17+$J$4)+約款料金!$B$16,0)))</f>
        <v>14168</v>
      </c>
      <c r="K32" s="373">
        <f>IF(($A32+K$6)&gt;約款料金!$C$9,ROUNDDOWN(($A32+K$6)*(約款料金!$D$17+$J$4)+約款料金!$D$16,0),IF(($A32+K$6)&gt;約款料金!$B$9,ROUNDDOWN(($A32+K$6)*(約款料金!$C$17+$J$4)+約款料金!$C$16,0),ROUNDDOWN(($A32+K$6)*(約款料金!$B$17+$J$4)+約款料金!$B$16,0)))</f>
        <v>14217</v>
      </c>
    </row>
    <row r="33" spans="1:11">
      <c r="A33" s="379">
        <v>26</v>
      </c>
      <c r="B33" s="365">
        <f>IF(($A33+B$6)&gt;約款料金!$C$9,ROUNDDOWN(($A33+B$6)*(約款料金!$D$17+$J$4)+約款料金!$D$16,0),IF(($A33+B$6)&gt;約款料金!$B$9,ROUNDDOWN(($A33+B$6)*(約款料金!$C$17+$J$4)+約款料金!$C$16,0),ROUNDDOWN(($A33+B$6)*(約款料金!$B$17+$J$4)+約款料金!$B$16,0)))</f>
        <v>14266</v>
      </c>
      <c r="C33" s="360">
        <f>IF(($A33+C$6)&gt;約款料金!$C$9,ROUNDDOWN(($A33+C$6)*(約款料金!$D$17+$J$4)+約款料金!$D$16,0),IF(($A33+C$6)&gt;約款料金!$B$9,ROUNDDOWN(($A33+C$6)*(約款料金!$C$17+$J$4)+約款料金!$C$16,0),ROUNDDOWN(($A33+C$6)*(約款料金!$B$17+$J$4)+約款料金!$B$16,0)))</f>
        <v>14316</v>
      </c>
      <c r="D33" s="360">
        <f>IF(($A33+D$6)&gt;約款料金!$C$9,ROUNDDOWN(($A33+D$6)*(約款料金!$D$17+$J$4)+約款料金!$D$16,0),IF(($A33+D$6)&gt;約款料金!$B$9,ROUNDDOWN(($A33+D$6)*(約款料金!$C$17+$J$4)+約款料金!$C$16,0),ROUNDDOWN(($A33+D$6)*(約款料金!$B$17+$J$4)+約款料金!$B$16,0)))</f>
        <v>14365</v>
      </c>
      <c r="E33" s="360">
        <f>IF(($A33+E$6)&gt;約款料金!$C$9,ROUNDDOWN(($A33+E$6)*(約款料金!$D$17+$J$4)+約款料金!$D$16,0),IF(($A33+E$6)&gt;約款料金!$B$9,ROUNDDOWN(($A33+E$6)*(約款料金!$C$17+$J$4)+約款料金!$C$16,0),ROUNDDOWN(($A33+E$6)*(約款料金!$B$17+$J$4)+約款料金!$B$16,0)))</f>
        <v>14414</v>
      </c>
      <c r="F33" s="360">
        <f>IF(($A33+F$6)&gt;約款料金!$C$9,ROUNDDOWN(($A33+F$6)*(約款料金!$D$17+$J$4)+約款料金!$D$16,0),IF(($A33+F$6)&gt;約款料金!$B$9,ROUNDDOWN(($A33+F$6)*(約款料金!$C$17+$J$4)+約款料金!$C$16,0),ROUNDDOWN(($A33+F$6)*(約款料金!$B$17+$J$4)+約款料金!$B$16,0)))</f>
        <v>14463</v>
      </c>
      <c r="G33" s="360">
        <f>IF(($A33+G$6)&gt;約款料金!$C$9,ROUNDDOWN(($A33+G$6)*(約款料金!$D$17+$J$4)+約款料金!$D$16,0),IF(($A33+G$6)&gt;約款料金!$B$9,ROUNDDOWN(($A33+G$6)*(約款料金!$C$17+$J$4)+約款料金!$C$16,0),ROUNDDOWN(($A33+G$6)*(約款料金!$B$17+$J$4)+約款料金!$B$16,0)))</f>
        <v>14513</v>
      </c>
      <c r="H33" s="360">
        <f>IF(($A33+H$6)&gt;約款料金!$C$9,ROUNDDOWN(($A33+H$6)*(約款料金!$D$17+$J$4)+約款料金!$D$16,0),IF(($A33+H$6)&gt;約款料金!$B$9,ROUNDDOWN(($A33+H$6)*(約款料金!$C$17+$J$4)+約款料金!$C$16,0),ROUNDDOWN(($A33+H$6)*(約款料金!$B$17+$J$4)+約款料金!$B$16,0)))</f>
        <v>14562</v>
      </c>
      <c r="I33" s="360">
        <f>IF(($A33+I$6)&gt;約款料金!$C$9,ROUNDDOWN(($A33+I$6)*(約款料金!$D$17+$J$4)+約款料金!$D$16,0),IF(($A33+I$6)&gt;約款料金!$B$9,ROUNDDOWN(($A33+I$6)*(約款料金!$C$17+$J$4)+約款料金!$C$16,0),ROUNDDOWN(($A33+I$6)*(約款料金!$B$17+$J$4)+約款料金!$B$16,0)))</f>
        <v>14611</v>
      </c>
      <c r="J33" s="360">
        <f>IF(($A33+J$6)&gt;約款料金!$C$9,ROUNDDOWN(($A33+J$6)*(約款料金!$D$17+$J$4)+約款料金!$D$16,0),IF(($A33+J$6)&gt;約款料金!$B$9,ROUNDDOWN(($A33+J$6)*(約款料金!$C$17+$J$4)+約款料金!$C$16,0),ROUNDDOWN(($A33+J$6)*(約款料金!$B$17+$J$4)+約款料金!$B$16,0)))</f>
        <v>14661</v>
      </c>
      <c r="K33" s="366">
        <f>IF(($A33+K$6)&gt;約款料金!$C$9,ROUNDDOWN(($A33+K$6)*(約款料金!$D$17+$J$4)+約款料金!$D$16,0),IF(($A33+K$6)&gt;約款料金!$B$9,ROUNDDOWN(($A33+K$6)*(約款料金!$C$17+$J$4)+約款料金!$C$16,0),ROUNDDOWN(($A33+K$6)*(約款料金!$B$17+$J$4)+約款料金!$B$16,0)))</f>
        <v>14710</v>
      </c>
    </row>
    <row r="34" spans="1:11">
      <c r="A34" s="380">
        <v>27</v>
      </c>
      <c r="B34" s="365">
        <f>IF(($A34+B$6)&gt;約款料金!$C$9,ROUNDDOWN(($A34+B$6)*(約款料金!$D$17+$J$4)+約款料金!$D$16,0),IF(($A34+B$6)&gt;約款料金!$B$9,ROUNDDOWN(($A34+B$6)*(約款料金!$C$17+$J$4)+約款料金!$C$16,0),ROUNDDOWN(($A34+B$6)*(約款料金!$B$17+$J$4)+約款料金!$B$16,0)))</f>
        <v>14759</v>
      </c>
      <c r="C34" s="360">
        <f>IF(($A34+C$6)&gt;約款料金!$C$9,ROUNDDOWN(($A34+C$6)*(約款料金!$D$17+$J$4)+約款料金!$D$16,0),IF(($A34+C$6)&gt;約款料金!$B$9,ROUNDDOWN(($A34+C$6)*(約款料金!$C$17+$J$4)+約款料金!$C$16,0),ROUNDDOWN(($A34+C$6)*(約款料金!$B$17+$J$4)+約款料金!$B$16,0)))</f>
        <v>14808</v>
      </c>
      <c r="D34" s="360">
        <f>IF(($A34+D$6)&gt;約款料金!$C$9,ROUNDDOWN(($A34+D$6)*(約款料金!$D$17+$J$4)+約款料金!$D$16,0),IF(($A34+D$6)&gt;約款料金!$B$9,ROUNDDOWN(($A34+D$6)*(約款料金!$C$17+$J$4)+約款料金!$C$16,0),ROUNDDOWN(($A34+D$6)*(約款料金!$B$17+$J$4)+約款料金!$B$16,0)))</f>
        <v>14858</v>
      </c>
      <c r="E34" s="360">
        <f>IF(($A34+E$6)&gt;約款料金!$C$9,ROUNDDOWN(($A34+E$6)*(約款料金!$D$17+$J$4)+約款料金!$D$16,0),IF(($A34+E$6)&gt;約款料金!$B$9,ROUNDDOWN(($A34+E$6)*(約款料金!$C$17+$J$4)+約款料金!$C$16,0),ROUNDDOWN(($A34+E$6)*(約款料金!$B$17+$J$4)+約款料金!$B$16,0)))</f>
        <v>14907</v>
      </c>
      <c r="F34" s="360">
        <f>IF(($A34+F$6)&gt;約款料金!$C$9,ROUNDDOWN(($A34+F$6)*(約款料金!$D$17+$J$4)+約款料金!$D$16,0),IF(($A34+F$6)&gt;約款料金!$B$9,ROUNDDOWN(($A34+F$6)*(約款料金!$C$17+$J$4)+約款料金!$C$16,0),ROUNDDOWN(($A34+F$6)*(約款料金!$B$17+$J$4)+約款料金!$B$16,0)))</f>
        <v>14956</v>
      </c>
      <c r="G34" s="360">
        <f>IF(($A34+G$6)&gt;約款料金!$C$9,ROUNDDOWN(($A34+G$6)*(約款料金!$D$17+$J$4)+約款料金!$D$16,0),IF(($A34+G$6)&gt;約款料金!$B$9,ROUNDDOWN(($A34+G$6)*(約款料金!$C$17+$J$4)+約款料金!$C$16,0),ROUNDDOWN(($A34+G$6)*(約款料金!$B$17+$J$4)+約款料金!$B$16,0)))</f>
        <v>15006</v>
      </c>
      <c r="H34" s="360">
        <f>IF(($A34+H$6)&gt;約款料金!$C$9,ROUNDDOWN(($A34+H$6)*(約款料金!$D$17+$J$4)+約款料金!$D$16,0),IF(($A34+H$6)&gt;約款料金!$B$9,ROUNDDOWN(($A34+H$6)*(約款料金!$C$17+$J$4)+約款料金!$C$16,0),ROUNDDOWN(($A34+H$6)*(約款料金!$B$17+$J$4)+約款料金!$B$16,0)))</f>
        <v>15055</v>
      </c>
      <c r="I34" s="360">
        <f>IF(($A34+I$6)&gt;約款料金!$C$9,ROUNDDOWN(($A34+I$6)*(約款料金!$D$17+$J$4)+約款料金!$D$16,0),IF(($A34+I$6)&gt;約款料金!$B$9,ROUNDDOWN(($A34+I$6)*(約款料金!$C$17+$J$4)+約款料金!$C$16,0),ROUNDDOWN(($A34+I$6)*(約款料金!$B$17+$J$4)+約款料金!$B$16,0)))</f>
        <v>15104</v>
      </c>
      <c r="J34" s="360">
        <f>IF(($A34+J$6)&gt;約款料金!$C$9,ROUNDDOWN(($A34+J$6)*(約款料金!$D$17+$J$4)+約款料金!$D$16,0),IF(($A34+J$6)&gt;約款料金!$B$9,ROUNDDOWN(($A34+J$6)*(約款料金!$C$17+$J$4)+約款料金!$C$16,0),ROUNDDOWN(($A34+J$6)*(約款料金!$B$17+$J$4)+約款料金!$B$16,0)))</f>
        <v>15154</v>
      </c>
      <c r="K34" s="366">
        <f>IF(($A34+K$6)&gt;約款料金!$C$9,ROUNDDOWN(($A34+K$6)*(約款料金!$D$17+$J$4)+約款料金!$D$16,0),IF(($A34+K$6)&gt;約款料金!$B$9,ROUNDDOWN(($A34+K$6)*(約款料金!$C$17+$J$4)+約款料金!$C$16,0),ROUNDDOWN(($A34+K$6)*(約款料金!$B$17+$J$4)+約款料金!$B$16,0)))</f>
        <v>15203</v>
      </c>
    </row>
    <row r="35" spans="1:11">
      <c r="A35" s="380">
        <v>28</v>
      </c>
      <c r="B35" s="365">
        <f>IF(($A35+B$6)&gt;約款料金!$C$9,ROUNDDOWN(($A35+B$6)*(約款料金!$D$17+$J$4)+約款料金!$D$16,0),IF(($A35+B$6)&gt;約款料金!$B$9,ROUNDDOWN(($A35+B$6)*(約款料金!$C$17+$J$4)+約款料金!$C$16,0),ROUNDDOWN(($A35+B$6)*(約款料金!$B$17+$J$4)+約款料金!$B$16,0)))</f>
        <v>15252</v>
      </c>
      <c r="C35" s="360">
        <f>IF(($A35+C$6)&gt;約款料金!$C$9,ROUNDDOWN(($A35+C$6)*(約款料金!$D$17+$J$4)+約款料金!$D$16,0),IF(($A35+C$6)&gt;約款料金!$B$9,ROUNDDOWN(($A35+C$6)*(約款料金!$C$17+$J$4)+約款料金!$C$16,0),ROUNDDOWN(($A35+C$6)*(約款料金!$B$17+$J$4)+約款料金!$B$16,0)))</f>
        <v>15301</v>
      </c>
      <c r="D35" s="360">
        <f>IF(($A35+D$6)&gt;約款料金!$C$9,ROUNDDOWN(($A35+D$6)*(約款料金!$D$17+$J$4)+約款料金!$D$16,0),IF(($A35+D$6)&gt;約款料金!$B$9,ROUNDDOWN(($A35+D$6)*(約款料金!$C$17+$J$4)+約款料金!$C$16,0),ROUNDDOWN(($A35+D$6)*(約款料金!$B$17+$J$4)+約款料金!$B$16,0)))</f>
        <v>15351</v>
      </c>
      <c r="E35" s="360">
        <f>IF(($A35+E$6)&gt;約款料金!$C$9,ROUNDDOWN(($A35+E$6)*(約款料金!$D$17+$J$4)+約款料金!$D$16,0),IF(($A35+E$6)&gt;約款料金!$B$9,ROUNDDOWN(($A35+E$6)*(約款料金!$C$17+$J$4)+約款料金!$C$16,0),ROUNDDOWN(($A35+E$6)*(約款料金!$B$17+$J$4)+約款料金!$B$16,0)))</f>
        <v>15400</v>
      </c>
      <c r="F35" s="360">
        <f>IF(($A35+F$6)&gt;約款料金!$C$9,ROUNDDOWN(($A35+F$6)*(約款料金!$D$17+$J$4)+約款料金!$D$16,0),IF(($A35+F$6)&gt;約款料金!$B$9,ROUNDDOWN(($A35+F$6)*(約款料金!$C$17+$J$4)+約款料金!$C$16,0),ROUNDDOWN(($A35+F$6)*(約款料金!$B$17+$J$4)+約款料金!$B$16,0)))</f>
        <v>15449</v>
      </c>
      <c r="G35" s="360">
        <f>IF(($A35+G$6)&gt;約款料金!$C$9,ROUNDDOWN(($A35+G$6)*(約款料金!$D$17+$J$4)+約款料金!$D$16,0),IF(($A35+G$6)&gt;約款料金!$B$9,ROUNDDOWN(($A35+G$6)*(約款料金!$C$17+$J$4)+約款料金!$C$16,0),ROUNDDOWN(($A35+G$6)*(約款料金!$B$17+$J$4)+約款料金!$B$16,0)))</f>
        <v>15499</v>
      </c>
      <c r="H35" s="360">
        <f>IF(($A35+H$6)&gt;約款料金!$C$9,ROUNDDOWN(($A35+H$6)*(約款料金!$D$17+$J$4)+約款料金!$D$16,0),IF(($A35+H$6)&gt;約款料金!$B$9,ROUNDDOWN(($A35+H$6)*(約款料金!$C$17+$J$4)+約款料金!$C$16,0),ROUNDDOWN(($A35+H$6)*(約款料金!$B$17+$J$4)+約款料金!$B$16,0)))</f>
        <v>15548</v>
      </c>
      <c r="I35" s="360">
        <f>IF(($A35+I$6)&gt;約款料金!$C$9,ROUNDDOWN(($A35+I$6)*(約款料金!$D$17+$J$4)+約款料金!$D$16,0),IF(($A35+I$6)&gt;約款料金!$B$9,ROUNDDOWN(($A35+I$6)*(約款料金!$C$17+$J$4)+約款料金!$C$16,0),ROUNDDOWN(($A35+I$6)*(約款料金!$B$17+$J$4)+約款料金!$B$16,0)))</f>
        <v>15597</v>
      </c>
      <c r="J35" s="360">
        <f>IF(($A35+J$6)&gt;約款料金!$C$9,ROUNDDOWN(($A35+J$6)*(約款料金!$D$17+$J$4)+約款料金!$D$16,0),IF(($A35+J$6)&gt;約款料金!$B$9,ROUNDDOWN(($A35+J$6)*(約款料金!$C$17+$J$4)+約款料金!$C$16,0),ROUNDDOWN(($A35+J$6)*(約款料金!$B$17+$J$4)+約款料金!$B$16,0)))</f>
        <v>15646</v>
      </c>
      <c r="K35" s="366">
        <f>IF(($A35+K$6)&gt;約款料金!$C$9,ROUNDDOWN(($A35+K$6)*(約款料金!$D$17+$J$4)+約款料金!$D$16,0),IF(($A35+K$6)&gt;約款料金!$B$9,ROUNDDOWN(($A35+K$6)*(約款料金!$C$17+$J$4)+約款料金!$C$16,0),ROUNDDOWN(($A35+K$6)*(約款料金!$B$17+$J$4)+約款料金!$B$16,0)))</f>
        <v>15696</v>
      </c>
    </row>
    <row r="36" spans="1:11">
      <c r="A36" s="380">
        <v>29</v>
      </c>
      <c r="B36" s="365">
        <f>IF(($A36+B$6)&gt;約款料金!$C$9,ROUNDDOWN(($A36+B$6)*(約款料金!$D$17+$J$4)+約款料金!$D$16,0),IF(($A36+B$6)&gt;約款料金!$B$9,ROUNDDOWN(($A36+B$6)*(約款料金!$C$17+$J$4)+約款料金!$C$16,0),ROUNDDOWN(($A36+B$6)*(約款料金!$B$17+$J$4)+約款料金!$B$16,0)))</f>
        <v>15745</v>
      </c>
      <c r="C36" s="360">
        <f>IF(($A36+C$6)&gt;約款料金!$C$9,ROUNDDOWN(($A36+C$6)*(約款料金!$D$17+$J$4)+約款料金!$D$16,0),IF(($A36+C$6)&gt;約款料金!$B$9,ROUNDDOWN(($A36+C$6)*(約款料金!$C$17+$J$4)+約款料金!$C$16,0),ROUNDDOWN(($A36+C$6)*(約款料金!$B$17+$J$4)+約款料金!$B$16,0)))</f>
        <v>15794</v>
      </c>
      <c r="D36" s="360">
        <f>IF(($A36+D$6)&gt;約款料金!$C$9,ROUNDDOWN(($A36+D$6)*(約款料金!$D$17+$J$4)+約款料金!$D$16,0),IF(($A36+D$6)&gt;約款料金!$B$9,ROUNDDOWN(($A36+D$6)*(約款料金!$C$17+$J$4)+約款料金!$C$16,0),ROUNDDOWN(($A36+D$6)*(約款料金!$B$17+$J$4)+約款料金!$B$16,0)))</f>
        <v>15844</v>
      </c>
      <c r="E36" s="360">
        <f>IF(($A36+E$6)&gt;約款料金!$C$9,ROUNDDOWN(($A36+E$6)*(約款料金!$D$17+$J$4)+約款料金!$D$16,0),IF(($A36+E$6)&gt;約款料金!$B$9,ROUNDDOWN(($A36+E$6)*(約款料金!$C$17+$J$4)+約款料金!$C$16,0),ROUNDDOWN(($A36+E$6)*(約款料金!$B$17+$J$4)+約款料金!$B$16,0)))</f>
        <v>15893</v>
      </c>
      <c r="F36" s="360">
        <f>IF(($A36+F$6)&gt;約款料金!$C$9,ROUNDDOWN(($A36+F$6)*(約款料金!$D$17+$J$4)+約款料金!$D$16,0),IF(($A36+F$6)&gt;約款料金!$B$9,ROUNDDOWN(($A36+F$6)*(約款料金!$C$17+$J$4)+約款料金!$C$16,0),ROUNDDOWN(($A36+F$6)*(約款料金!$B$17+$J$4)+約款料金!$B$16,0)))</f>
        <v>15942</v>
      </c>
      <c r="G36" s="360">
        <f>IF(($A36+G$6)&gt;約款料金!$C$9,ROUNDDOWN(($A36+G$6)*(約款料金!$D$17+$J$4)+約款料金!$D$16,0),IF(($A36+G$6)&gt;約款料金!$B$9,ROUNDDOWN(($A36+G$6)*(約款料金!$C$17+$J$4)+約款料金!$C$16,0),ROUNDDOWN(($A36+G$6)*(約款料金!$B$17+$J$4)+約款料金!$B$16,0)))</f>
        <v>15991</v>
      </c>
      <c r="H36" s="360">
        <f>IF(($A36+H$6)&gt;約款料金!$C$9,ROUNDDOWN(($A36+H$6)*(約款料金!$D$17+$J$4)+約款料金!$D$16,0),IF(($A36+H$6)&gt;約款料金!$B$9,ROUNDDOWN(($A36+H$6)*(約款料金!$C$17+$J$4)+約款料金!$C$16,0),ROUNDDOWN(($A36+H$6)*(約款料金!$B$17+$J$4)+約款料金!$B$16,0)))</f>
        <v>16041</v>
      </c>
      <c r="I36" s="360">
        <f>IF(($A36+I$6)&gt;約款料金!$C$9,ROUNDDOWN(($A36+I$6)*(約款料金!$D$17+$J$4)+約款料金!$D$16,0),IF(($A36+I$6)&gt;約款料金!$B$9,ROUNDDOWN(($A36+I$6)*(約款料金!$C$17+$J$4)+約款料金!$C$16,0),ROUNDDOWN(($A36+I$6)*(約款料金!$B$17+$J$4)+約款料金!$B$16,0)))</f>
        <v>16090</v>
      </c>
      <c r="J36" s="360">
        <f>IF(($A36+J$6)&gt;約款料金!$C$9,ROUNDDOWN(($A36+J$6)*(約款料金!$D$17+$J$4)+約款料金!$D$16,0),IF(($A36+J$6)&gt;約款料金!$B$9,ROUNDDOWN(($A36+J$6)*(約款料金!$C$17+$J$4)+約款料金!$C$16,0),ROUNDDOWN(($A36+J$6)*(約款料金!$B$17+$J$4)+約款料金!$B$16,0)))</f>
        <v>16139</v>
      </c>
      <c r="K36" s="366">
        <f>IF(($A36+K$6)&gt;約款料金!$C$9,ROUNDDOWN(($A36+K$6)*(約款料金!$D$17+$J$4)+約款料金!$D$16,0),IF(($A36+K$6)&gt;約款料金!$B$9,ROUNDDOWN(($A36+K$6)*(約款料金!$C$17+$J$4)+約款料金!$C$16,0),ROUNDDOWN(($A36+K$6)*(約款料金!$B$17+$J$4)+約款料金!$B$16,0)))</f>
        <v>16189</v>
      </c>
    </row>
    <row r="37" spans="1:11">
      <c r="A37" s="382">
        <v>30</v>
      </c>
      <c r="B37" s="371">
        <f>IF(($A37+B$6)&gt;約款料金!$C$9,ROUNDDOWN(($A37+B$6)*(約款料金!$D$17+$J$4)+約款料金!$D$16,0),IF(($A37+B$6)&gt;約款料金!$B$9,ROUNDDOWN(($A37+B$6)*(約款料金!$C$17+$J$4)+約款料金!$C$16,0),ROUNDDOWN(($A37+B$6)*(約款料金!$B$17+$J$4)+約款料金!$B$16,0)))</f>
        <v>16238</v>
      </c>
      <c r="C37" s="372">
        <f>IF(($A37+C$6)&gt;約款料金!$C$9,ROUNDDOWN(($A37+C$6)*(約款料金!$D$17+$J$4)+約款料金!$D$16,0),IF(($A37+C$6)&gt;約款料金!$B$9,ROUNDDOWN(($A37+C$6)*(約款料金!$C$17+$J$4)+約款料金!$C$16,0),ROUNDDOWN(($A37+C$6)*(約款料金!$B$17+$J$4)+約款料金!$B$16,0)))</f>
        <v>16283</v>
      </c>
      <c r="D37" s="372">
        <f>IF(($A37+D$6)&gt;約款料金!$C$9,ROUNDDOWN(($A37+D$6)*(約款料金!$D$17+$J$4)+約款料金!$D$16,0),IF(($A37+D$6)&gt;約款料金!$B$9,ROUNDDOWN(($A37+D$6)*(約款料金!$C$17+$J$4)+約款料金!$C$16,0),ROUNDDOWN(($A37+D$6)*(約款料金!$B$17+$J$4)+約款料金!$B$16,0)))</f>
        <v>16328</v>
      </c>
      <c r="E37" s="372">
        <f>IF(($A37+E$6)&gt;約款料金!$C$9,ROUNDDOWN(($A37+E$6)*(約款料金!$D$17+$J$4)+約款料金!$D$16,0),IF(($A37+E$6)&gt;約款料金!$B$9,ROUNDDOWN(($A37+E$6)*(約款料金!$C$17+$J$4)+約款料金!$C$16,0),ROUNDDOWN(($A37+E$6)*(約款料金!$B$17+$J$4)+約款料金!$B$16,0)))</f>
        <v>16373</v>
      </c>
      <c r="F37" s="372">
        <f>IF(($A37+F$6)&gt;約款料金!$C$9,ROUNDDOWN(($A37+F$6)*(約款料金!$D$17+$J$4)+約款料金!$D$16,0),IF(($A37+F$6)&gt;約款料金!$B$9,ROUNDDOWN(($A37+F$6)*(約款料金!$C$17+$J$4)+約款料金!$C$16,0),ROUNDDOWN(($A37+F$6)*(約款料金!$B$17+$J$4)+約款料金!$B$16,0)))</f>
        <v>16418</v>
      </c>
      <c r="G37" s="372">
        <f>IF(($A37+G$6)&gt;約款料金!$C$9,ROUNDDOWN(($A37+G$6)*(約款料金!$D$17+$J$4)+約款料金!$D$16,0),IF(($A37+G$6)&gt;約款料金!$B$9,ROUNDDOWN(($A37+G$6)*(約款料金!$C$17+$J$4)+約款料金!$C$16,0),ROUNDDOWN(($A37+G$6)*(約款料金!$B$17+$J$4)+約款料金!$B$16,0)))</f>
        <v>16462</v>
      </c>
      <c r="H37" s="372">
        <f>IF(($A37+H$6)&gt;約款料金!$C$9,ROUNDDOWN(($A37+H$6)*(約款料金!$D$17+$J$4)+約款料金!$D$16,0),IF(($A37+H$6)&gt;約款料金!$B$9,ROUNDDOWN(($A37+H$6)*(約款料金!$C$17+$J$4)+約款料金!$C$16,0),ROUNDDOWN(($A37+H$6)*(約款料金!$B$17+$J$4)+約款料金!$B$16,0)))</f>
        <v>16507</v>
      </c>
      <c r="I37" s="372">
        <f>IF(($A37+I$6)&gt;約款料金!$C$9,ROUNDDOWN(($A37+I$6)*(約款料金!$D$17+$J$4)+約款料金!$D$16,0),IF(($A37+I$6)&gt;約款料金!$B$9,ROUNDDOWN(($A37+I$6)*(約款料金!$C$17+$J$4)+約款料金!$C$16,0),ROUNDDOWN(($A37+I$6)*(約款料金!$B$17+$J$4)+約款料金!$B$16,0)))</f>
        <v>16552</v>
      </c>
      <c r="J37" s="372">
        <f>IF(($A37+J$6)&gt;約款料金!$C$9,ROUNDDOWN(($A37+J$6)*(約款料金!$D$17+$J$4)+約款料金!$D$16,0),IF(($A37+J$6)&gt;約款料金!$B$9,ROUNDDOWN(($A37+J$6)*(約款料金!$C$17+$J$4)+約款料金!$C$16,0),ROUNDDOWN(($A37+J$6)*(約款料金!$B$17+$J$4)+約款料金!$B$16,0)))</f>
        <v>16597</v>
      </c>
      <c r="K37" s="373">
        <f>IF(($A37+K$6)&gt;約款料金!$C$9,ROUNDDOWN(($A37+K$6)*(約款料金!$D$17+$J$4)+約款料金!$D$16,0),IF(($A37+K$6)&gt;約款料金!$B$9,ROUNDDOWN(($A37+K$6)*(約款料金!$C$17+$J$4)+約款料金!$C$16,0),ROUNDDOWN(($A37+K$6)*(約款料金!$B$17+$J$4)+約款料金!$B$16,0)))</f>
        <v>16642</v>
      </c>
    </row>
    <row r="38" spans="1:11">
      <c r="A38" s="379">
        <v>31</v>
      </c>
      <c r="B38" s="365">
        <f>IF(($A38+B$6)&gt;約款料金!$C$9,ROUNDDOWN(($A38+B$6)*(約款料金!$D$17+$J$4)+約款料金!$D$16,0),IF(($A38+B$6)&gt;約款料金!$B$9,ROUNDDOWN(($A38+B$6)*(約款料金!$C$17+$J$4)+約款料金!$C$16,0),ROUNDDOWN(($A38+B$6)*(約款料金!$B$17+$J$4)+約款料金!$B$16,0)))</f>
        <v>16687</v>
      </c>
      <c r="C38" s="360">
        <f>IF(($A38+C$6)&gt;約款料金!$C$9,ROUNDDOWN(($A38+C$6)*(約款料金!$D$17+$J$4)+約款料金!$D$16,0),IF(($A38+C$6)&gt;約款料金!$B$9,ROUNDDOWN(($A38+C$6)*(約款料金!$C$17+$J$4)+約款料金!$C$16,0),ROUNDDOWN(($A38+C$6)*(約款料金!$B$17+$J$4)+約款料金!$B$16,0)))</f>
        <v>16732</v>
      </c>
      <c r="D38" s="360">
        <f>IF(($A38+D$6)&gt;約款料金!$C$9,ROUNDDOWN(($A38+D$6)*(約款料金!$D$17+$J$4)+約款料金!$D$16,0),IF(($A38+D$6)&gt;約款料金!$B$9,ROUNDDOWN(($A38+D$6)*(約款料金!$C$17+$J$4)+約款料金!$C$16,0),ROUNDDOWN(($A38+D$6)*(約款料金!$B$17+$J$4)+約款料金!$B$16,0)))</f>
        <v>16777</v>
      </c>
      <c r="E38" s="360">
        <f>IF(($A38+E$6)&gt;約款料金!$C$9,ROUNDDOWN(($A38+E$6)*(約款料金!$D$17+$J$4)+約款料金!$D$16,0),IF(($A38+E$6)&gt;約款料金!$B$9,ROUNDDOWN(($A38+E$6)*(約款料金!$C$17+$J$4)+約款料金!$C$16,0),ROUNDDOWN(($A38+E$6)*(約款料金!$B$17+$J$4)+約款料金!$B$16,0)))</f>
        <v>16822</v>
      </c>
      <c r="F38" s="360">
        <f>IF(($A38+F$6)&gt;約款料金!$C$9,ROUNDDOWN(($A38+F$6)*(約款料金!$D$17+$J$4)+約款料金!$D$16,0),IF(($A38+F$6)&gt;約款料金!$B$9,ROUNDDOWN(($A38+F$6)*(約款料金!$C$17+$J$4)+約款料金!$C$16,0),ROUNDDOWN(($A38+F$6)*(約款料金!$B$17+$J$4)+約款料金!$B$16,0)))</f>
        <v>16867</v>
      </c>
      <c r="G38" s="360">
        <f>IF(($A38+G$6)&gt;約款料金!$C$9,ROUNDDOWN(($A38+G$6)*(約款料金!$D$17+$J$4)+約款料金!$D$16,0),IF(($A38+G$6)&gt;約款料金!$B$9,ROUNDDOWN(($A38+G$6)*(約款料金!$C$17+$J$4)+約款料金!$C$16,0),ROUNDDOWN(($A38+G$6)*(約款料金!$B$17+$J$4)+約款料金!$B$16,0)))</f>
        <v>16911</v>
      </c>
      <c r="H38" s="360">
        <f>IF(($A38+H$6)&gt;約款料金!$C$9,ROUNDDOWN(($A38+H$6)*(約款料金!$D$17+$J$4)+約款料金!$D$16,0),IF(($A38+H$6)&gt;約款料金!$B$9,ROUNDDOWN(($A38+H$6)*(約款料金!$C$17+$J$4)+約款料金!$C$16,0),ROUNDDOWN(($A38+H$6)*(約款料金!$B$17+$J$4)+約款料金!$B$16,0)))</f>
        <v>16956</v>
      </c>
      <c r="I38" s="360">
        <f>IF(($A38+I$6)&gt;約款料金!$C$9,ROUNDDOWN(($A38+I$6)*(約款料金!$D$17+$J$4)+約款料金!$D$16,0),IF(($A38+I$6)&gt;約款料金!$B$9,ROUNDDOWN(($A38+I$6)*(約款料金!$C$17+$J$4)+約款料金!$C$16,0),ROUNDDOWN(($A38+I$6)*(約款料金!$B$17+$J$4)+約款料金!$B$16,0)))</f>
        <v>17001</v>
      </c>
      <c r="J38" s="360">
        <f>IF(($A38+J$6)&gt;約款料金!$C$9,ROUNDDOWN(($A38+J$6)*(約款料金!$D$17+$J$4)+約款料金!$D$16,0),IF(($A38+J$6)&gt;約款料金!$B$9,ROUNDDOWN(($A38+J$6)*(約款料金!$C$17+$J$4)+約款料金!$C$16,0),ROUNDDOWN(($A38+J$6)*(約款料金!$B$17+$J$4)+約款料金!$B$16,0)))</f>
        <v>17046</v>
      </c>
      <c r="K38" s="366">
        <f>IF(($A38+K$6)&gt;約款料金!$C$9,ROUNDDOWN(($A38+K$6)*(約款料金!$D$17+$J$4)+約款料金!$D$16,0),IF(($A38+K$6)&gt;約款料金!$B$9,ROUNDDOWN(($A38+K$6)*(約款料金!$C$17+$J$4)+約款料金!$C$16,0),ROUNDDOWN(($A38+K$6)*(約款料金!$B$17+$J$4)+約款料金!$B$16,0)))</f>
        <v>17091</v>
      </c>
    </row>
    <row r="39" spans="1:11">
      <c r="A39" s="380">
        <v>32</v>
      </c>
      <c r="B39" s="365">
        <f>IF(($A39+B$6)&gt;約款料金!$C$9,ROUNDDOWN(($A39+B$6)*(約款料金!$D$17+$J$4)+約款料金!$D$16,0),IF(($A39+B$6)&gt;約款料金!$B$9,ROUNDDOWN(($A39+B$6)*(約款料金!$C$17+$J$4)+約款料金!$C$16,0),ROUNDDOWN(($A39+B$6)*(約款料金!$B$17+$J$4)+約款料金!$B$16,0)))</f>
        <v>17136</v>
      </c>
      <c r="C39" s="360">
        <f>IF(($A39+C$6)&gt;約款料金!$C$9,ROUNDDOWN(($A39+C$6)*(約款料金!$D$17+$J$4)+約款料金!$D$16,0),IF(($A39+C$6)&gt;約款料金!$B$9,ROUNDDOWN(($A39+C$6)*(約款料金!$C$17+$J$4)+約款料金!$C$16,0),ROUNDDOWN(($A39+C$6)*(約款料金!$B$17+$J$4)+約款料金!$B$16,0)))</f>
        <v>17181</v>
      </c>
      <c r="D39" s="360">
        <f>IF(($A39+D$6)&gt;約款料金!$C$9,ROUNDDOWN(($A39+D$6)*(約款料金!$D$17+$J$4)+約款料金!$D$16,0),IF(($A39+D$6)&gt;約款料金!$B$9,ROUNDDOWN(($A39+D$6)*(約款料金!$C$17+$J$4)+約款料金!$C$16,0),ROUNDDOWN(($A39+D$6)*(約款料金!$B$17+$J$4)+約款料金!$B$16,0)))</f>
        <v>17226</v>
      </c>
      <c r="E39" s="360">
        <f>IF(($A39+E$6)&gt;約款料金!$C$9,ROUNDDOWN(($A39+E$6)*(約款料金!$D$17+$J$4)+約款料金!$D$16,0),IF(($A39+E$6)&gt;約款料金!$B$9,ROUNDDOWN(($A39+E$6)*(約款料金!$C$17+$J$4)+約款料金!$C$16,0),ROUNDDOWN(($A39+E$6)*(約款料金!$B$17+$J$4)+約款料金!$B$16,0)))</f>
        <v>17271</v>
      </c>
      <c r="F39" s="360">
        <f>IF(($A39+F$6)&gt;約款料金!$C$9,ROUNDDOWN(($A39+F$6)*(約款料金!$D$17+$J$4)+約款料金!$D$16,0),IF(($A39+F$6)&gt;約款料金!$B$9,ROUNDDOWN(($A39+F$6)*(約款料金!$C$17+$J$4)+約款料金!$C$16,0),ROUNDDOWN(($A39+F$6)*(約款料金!$B$17+$J$4)+約款料金!$B$16,0)))</f>
        <v>17316</v>
      </c>
      <c r="G39" s="360">
        <f>IF(($A39+G$6)&gt;約款料金!$C$9,ROUNDDOWN(($A39+G$6)*(約款料金!$D$17+$J$4)+約款料金!$D$16,0),IF(($A39+G$6)&gt;約款料金!$B$9,ROUNDDOWN(($A39+G$6)*(約款料金!$C$17+$J$4)+約款料金!$C$16,0),ROUNDDOWN(($A39+G$6)*(約款料金!$B$17+$J$4)+約款料金!$B$16,0)))</f>
        <v>17360</v>
      </c>
      <c r="H39" s="360">
        <f>IF(($A39+H$6)&gt;約款料金!$C$9,ROUNDDOWN(($A39+H$6)*(約款料金!$D$17+$J$4)+約款料金!$D$16,0),IF(($A39+H$6)&gt;約款料金!$B$9,ROUNDDOWN(($A39+H$6)*(約款料金!$C$17+$J$4)+約款料金!$C$16,0),ROUNDDOWN(($A39+H$6)*(約款料金!$B$17+$J$4)+約款料金!$B$16,0)))</f>
        <v>17405</v>
      </c>
      <c r="I39" s="360">
        <f>IF(($A39+I$6)&gt;約款料金!$C$9,ROUNDDOWN(($A39+I$6)*(約款料金!$D$17+$J$4)+約款料金!$D$16,0),IF(($A39+I$6)&gt;約款料金!$B$9,ROUNDDOWN(($A39+I$6)*(約款料金!$C$17+$J$4)+約款料金!$C$16,0),ROUNDDOWN(($A39+I$6)*(約款料金!$B$17+$J$4)+約款料金!$B$16,0)))</f>
        <v>17450</v>
      </c>
      <c r="J39" s="360">
        <f>IF(($A39+J$6)&gt;約款料金!$C$9,ROUNDDOWN(($A39+J$6)*(約款料金!$D$17+$J$4)+約款料金!$D$16,0),IF(($A39+J$6)&gt;約款料金!$B$9,ROUNDDOWN(($A39+J$6)*(約款料金!$C$17+$J$4)+約款料金!$C$16,0),ROUNDDOWN(($A39+J$6)*(約款料金!$B$17+$J$4)+約款料金!$B$16,0)))</f>
        <v>17495</v>
      </c>
      <c r="K39" s="366">
        <f>IF(($A39+K$6)&gt;約款料金!$C$9,ROUNDDOWN(($A39+K$6)*(約款料金!$D$17+$J$4)+約款料金!$D$16,0),IF(($A39+K$6)&gt;約款料金!$B$9,ROUNDDOWN(($A39+K$6)*(約款料金!$C$17+$J$4)+約款料金!$C$16,0),ROUNDDOWN(($A39+K$6)*(約款料金!$B$17+$J$4)+約款料金!$B$16,0)))</f>
        <v>17540</v>
      </c>
    </row>
    <row r="40" spans="1:11">
      <c r="A40" s="380">
        <v>33</v>
      </c>
      <c r="B40" s="365">
        <f>IF(($A40+B$6)&gt;約款料金!$C$9,ROUNDDOWN(($A40+B$6)*(約款料金!$D$17+$J$4)+約款料金!$D$16,0),IF(($A40+B$6)&gt;約款料金!$B$9,ROUNDDOWN(($A40+B$6)*(約款料金!$C$17+$J$4)+約款料金!$C$16,0),ROUNDDOWN(($A40+B$6)*(約款料金!$B$17+$J$4)+約款料金!$B$16,0)))</f>
        <v>17585</v>
      </c>
      <c r="C40" s="360">
        <f>IF(($A40+C$6)&gt;約款料金!$C$9,ROUNDDOWN(($A40+C$6)*(約款料金!$D$17+$J$4)+約款料金!$D$16,0),IF(($A40+C$6)&gt;約款料金!$B$9,ROUNDDOWN(($A40+C$6)*(約款料金!$C$17+$J$4)+約款料金!$C$16,0),ROUNDDOWN(($A40+C$6)*(約款料金!$B$17+$J$4)+約款料金!$B$16,0)))</f>
        <v>17630</v>
      </c>
      <c r="D40" s="360">
        <f>IF(($A40+D$6)&gt;約款料金!$C$9,ROUNDDOWN(($A40+D$6)*(約款料金!$D$17+$J$4)+約款料金!$D$16,0),IF(($A40+D$6)&gt;約款料金!$B$9,ROUNDDOWN(($A40+D$6)*(約款料金!$C$17+$J$4)+約款料金!$C$16,0),ROUNDDOWN(($A40+D$6)*(約款料金!$B$17+$J$4)+約款料金!$B$16,0)))</f>
        <v>17675</v>
      </c>
      <c r="E40" s="360">
        <f>IF(($A40+E$6)&gt;約款料金!$C$9,ROUNDDOWN(($A40+E$6)*(約款料金!$D$17+$J$4)+約款料金!$D$16,0),IF(($A40+E$6)&gt;約款料金!$B$9,ROUNDDOWN(($A40+E$6)*(約款料金!$C$17+$J$4)+約款料金!$C$16,0),ROUNDDOWN(($A40+E$6)*(約款料金!$B$17+$J$4)+約款料金!$B$16,0)))</f>
        <v>17720</v>
      </c>
      <c r="F40" s="360">
        <f>IF(($A40+F$6)&gt;約款料金!$C$9,ROUNDDOWN(($A40+F$6)*(約款料金!$D$17+$J$4)+約款料金!$D$16,0),IF(($A40+F$6)&gt;約款料金!$B$9,ROUNDDOWN(($A40+F$6)*(約款料金!$C$17+$J$4)+約款料金!$C$16,0),ROUNDDOWN(($A40+F$6)*(約款料金!$B$17+$J$4)+約款料金!$B$16,0)))</f>
        <v>17765</v>
      </c>
      <c r="G40" s="360">
        <f>IF(($A40+G$6)&gt;約款料金!$C$9,ROUNDDOWN(($A40+G$6)*(約款料金!$D$17+$J$4)+約款料金!$D$16,0),IF(($A40+G$6)&gt;約款料金!$B$9,ROUNDDOWN(($A40+G$6)*(約款料金!$C$17+$J$4)+約款料金!$C$16,0),ROUNDDOWN(($A40+G$6)*(約款料金!$B$17+$J$4)+約款料金!$B$16,0)))</f>
        <v>17809</v>
      </c>
      <c r="H40" s="360">
        <f>IF(($A40+H$6)&gt;約款料金!$C$9,ROUNDDOWN(($A40+H$6)*(約款料金!$D$17+$J$4)+約款料金!$D$16,0),IF(($A40+H$6)&gt;約款料金!$B$9,ROUNDDOWN(($A40+H$6)*(約款料金!$C$17+$J$4)+約款料金!$C$16,0),ROUNDDOWN(($A40+H$6)*(約款料金!$B$17+$J$4)+約款料金!$B$16,0)))</f>
        <v>17854</v>
      </c>
      <c r="I40" s="360">
        <f>IF(($A40+I$6)&gt;約款料金!$C$9,ROUNDDOWN(($A40+I$6)*(約款料金!$D$17+$J$4)+約款料金!$D$16,0),IF(($A40+I$6)&gt;約款料金!$B$9,ROUNDDOWN(($A40+I$6)*(約款料金!$C$17+$J$4)+約款料金!$C$16,0),ROUNDDOWN(($A40+I$6)*(約款料金!$B$17+$J$4)+約款料金!$B$16,0)))</f>
        <v>17899</v>
      </c>
      <c r="J40" s="360">
        <f>IF(($A40+J$6)&gt;約款料金!$C$9,ROUNDDOWN(($A40+J$6)*(約款料金!$D$17+$J$4)+約款料金!$D$16,0),IF(($A40+J$6)&gt;約款料金!$B$9,ROUNDDOWN(($A40+J$6)*(約款料金!$C$17+$J$4)+約款料金!$C$16,0),ROUNDDOWN(($A40+J$6)*(約款料金!$B$17+$J$4)+約款料金!$B$16,0)))</f>
        <v>17944</v>
      </c>
      <c r="K40" s="366">
        <f>IF(($A40+K$6)&gt;約款料金!$C$9,ROUNDDOWN(($A40+K$6)*(約款料金!$D$17+$J$4)+約款料金!$D$16,0),IF(($A40+K$6)&gt;約款料金!$B$9,ROUNDDOWN(($A40+K$6)*(約款料金!$C$17+$J$4)+約款料金!$C$16,0),ROUNDDOWN(($A40+K$6)*(約款料金!$B$17+$J$4)+約款料金!$B$16,0)))</f>
        <v>17989</v>
      </c>
    </row>
    <row r="41" spans="1:11">
      <c r="A41" s="380">
        <v>34</v>
      </c>
      <c r="B41" s="365">
        <f>IF(($A41+B$6)&gt;約款料金!$C$9,ROUNDDOWN(($A41+B$6)*(約款料金!$D$17+$J$4)+約款料金!$D$16,0),IF(($A41+B$6)&gt;約款料金!$B$9,ROUNDDOWN(($A41+B$6)*(約款料金!$C$17+$J$4)+約款料金!$C$16,0),ROUNDDOWN(($A41+B$6)*(約款料金!$B$17+$J$4)+約款料金!$B$16,0)))</f>
        <v>18034</v>
      </c>
      <c r="C41" s="360">
        <f>IF(($A41+C$6)&gt;約款料金!$C$9,ROUNDDOWN(($A41+C$6)*(約款料金!$D$17+$J$4)+約款料金!$D$16,0),IF(($A41+C$6)&gt;約款料金!$B$9,ROUNDDOWN(($A41+C$6)*(約款料金!$C$17+$J$4)+約款料金!$C$16,0),ROUNDDOWN(($A41+C$6)*(約款料金!$B$17+$J$4)+約款料金!$B$16,0)))</f>
        <v>18079</v>
      </c>
      <c r="D41" s="360">
        <f>IF(($A41+D$6)&gt;約款料金!$C$9,ROUNDDOWN(($A41+D$6)*(約款料金!$D$17+$J$4)+約款料金!$D$16,0),IF(($A41+D$6)&gt;約款料金!$B$9,ROUNDDOWN(($A41+D$6)*(約款料金!$C$17+$J$4)+約款料金!$C$16,0),ROUNDDOWN(($A41+D$6)*(約款料金!$B$17+$J$4)+約款料金!$B$16,0)))</f>
        <v>18124</v>
      </c>
      <c r="E41" s="360">
        <f>IF(($A41+E$6)&gt;約款料金!$C$9,ROUNDDOWN(($A41+E$6)*(約款料金!$D$17+$J$4)+約款料金!$D$16,0),IF(($A41+E$6)&gt;約款料金!$B$9,ROUNDDOWN(($A41+E$6)*(約款料金!$C$17+$J$4)+約款料金!$C$16,0),ROUNDDOWN(($A41+E$6)*(約款料金!$B$17+$J$4)+約款料金!$B$16,0)))</f>
        <v>18169</v>
      </c>
      <c r="F41" s="360">
        <f>IF(($A41+F$6)&gt;約款料金!$C$9,ROUNDDOWN(($A41+F$6)*(約款料金!$D$17+$J$4)+約款料金!$D$16,0),IF(($A41+F$6)&gt;約款料金!$B$9,ROUNDDOWN(($A41+F$6)*(約款料金!$C$17+$J$4)+約款料金!$C$16,0),ROUNDDOWN(($A41+F$6)*(約款料金!$B$17+$J$4)+約款料金!$B$16,0)))</f>
        <v>18214</v>
      </c>
      <c r="G41" s="360">
        <f>IF(($A41+G$6)&gt;約款料金!$C$9,ROUNDDOWN(($A41+G$6)*(約款料金!$D$17+$J$4)+約款料金!$D$16,0),IF(($A41+G$6)&gt;約款料金!$B$9,ROUNDDOWN(($A41+G$6)*(約款料金!$C$17+$J$4)+約款料金!$C$16,0),ROUNDDOWN(($A41+G$6)*(約款料金!$B$17+$J$4)+約款料金!$B$16,0)))</f>
        <v>18259</v>
      </c>
      <c r="H41" s="360">
        <f>IF(($A41+H$6)&gt;約款料金!$C$9,ROUNDDOWN(($A41+H$6)*(約款料金!$D$17+$J$4)+約款料金!$D$16,0),IF(($A41+H$6)&gt;約款料金!$B$9,ROUNDDOWN(($A41+H$6)*(約款料金!$C$17+$J$4)+約款料金!$C$16,0),ROUNDDOWN(($A41+H$6)*(約款料金!$B$17+$J$4)+約款料金!$B$16,0)))</f>
        <v>18303</v>
      </c>
      <c r="I41" s="360">
        <f>IF(($A41+I$6)&gt;約款料金!$C$9,ROUNDDOWN(($A41+I$6)*(約款料金!$D$17+$J$4)+約款料金!$D$16,0),IF(($A41+I$6)&gt;約款料金!$B$9,ROUNDDOWN(($A41+I$6)*(約款料金!$C$17+$J$4)+約款料金!$C$16,0),ROUNDDOWN(($A41+I$6)*(約款料金!$B$17+$J$4)+約款料金!$B$16,0)))</f>
        <v>18348</v>
      </c>
      <c r="J41" s="360">
        <f>IF(($A41+J$6)&gt;約款料金!$C$9,ROUNDDOWN(($A41+J$6)*(約款料金!$D$17+$J$4)+約款料金!$D$16,0),IF(($A41+J$6)&gt;約款料金!$B$9,ROUNDDOWN(($A41+J$6)*(約款料金!$C$17+$J$4)+約款料金!$C$16,0),ROUNDDOWN(($A41+J$6)*(約款料金!$B$17+$J$4)+約款料金!$B$16,0)))</f>
        <v>18393</v>
      </c>
      <c r="K41" s="366">
        <f>IF(($A41+K$6)&gt;約款料金!$C$9,ROUNDDOWN(($A41+K$6)*(約款料金!$D$17+$J$4)+約款料金!$D$16,0),IF(($A41+K$6)&gt;約款料金!$B$9,ROUNDDOWN(($A41+K$6)*(約款料金!$C$17+$J$4)+約款料金!$C$16,0),ROUNDDOWN(($A41+K$6)*(約款料金!$B$17+$J$4)+約款料金!$B$16,0)))</f>
        <v>18438</v>
      </c>
    </row>
    <row r="42" spans="1:11">
      <c r="A42" s="382">
        <v>35</v>
      </c>
      <c r="B42" s="371">
        <f>IF(($A42+B$6)&gt;約款料金!$C$9,ROUNDDOWN(($A42+B$6)*(約款料金!$D$17+$J$4)+約款料金!$D$16,0),IF(($A42+B$6)&gt;約款料金!$B$9,ROUNDDOWN(($A42+B$6)*(約款料金!$C$17+$J$4)+約款料金!$C$16,0),ROUNDDOWN(($A42+B$6)*(約款料金!$B$17+$J$4)+約款料金!$B$16,0)))</f>
        <v>18483</v>
      </c>
      <c r="C42" s="372">
        <f>IF(($A42+C$6)&gt;約款料金!$C$9,ROUNDDOWN(($A42+C$6)*(約款料金!$D$17+$J$4)+約款料金!$D$16,0),IF(($A42+C$6)&gt;約款料金!$B$9,ROUNDDOWN(($A42+C$6)*(約款料金!$C$17+$J$4)+約款料金!$C$16,0),ROUNDDOWN(($A42+C$6)*(約款料金!$B$17+$J$4)+約款料金!$B$16,0)))</f>
        <v>18528</v>
      </c>
      <c r="D42" s="372">
        <f>IF(($A42+D$6)&gt;約款料金!$C$9,ROUNDDOWN(($A42+D$6)*(約款料金!$D$17+$J$4)+約款料金!$D$16,0),IF(($A42+D$6)&gt;約款料金!$B$9,ROUNDDOWN(($A42+D$6)*(約款料金!$C$17+$J$4)+約款料金!$C$16,0),ROUNDDOWN(($A42+D$6)*(約款料金!$B$17+$J$4)+約款料金!$B$16,0)))</f>
        <v>18573</v>
      </c>
      <c r="E42" s="372">
        <f>IF(($A42+E$6)&gt;約款料金!$C$9,ROUNDDOWN(($A42+E$6)*(約款料金!$D$17+$J$4)+約款料金!$D$16,0),IF(($A42+E$6)&gt;約款料金!$B$9,ROUNDDOWN(($A42+E$6)*(約款料金!$C$17+$J$4)+約款料金!$C$16,0),ROUNDDOWN(($A42+E$6)*(約款料金!$B$17+$J$4)+約款料金!$B$16,0)))</f>
        <v>18618</v>
      </c>
      <c r="F42" s="372">
        <f>IF(($A42+F$6)&gt;約款料金!$C$9,ROUNDDOWN(($A42+F$6)*(約款料金!$D$17+$J$4)+約款料金!$D$16,0),IF(($A42+F$6)&gt;約款料金!$B$9,ROUNDDOWN(($A42+F$6)*(約款料金!$C$17+$J$4)+約款料金!$C$16,0),ROUNDDOWN(($A42+F$6)*(約款料金!$B$17+$J$4)+約款料金!$B$16,0)))</f>
        <v>18663</v>
      </c>
      <c r="G42" s="372">
        <f>IF(($A42+G$6)&gt;約款料金!$C$9,ROUNDDOWN(($A42+G$6)*(約款料金!$D$17+$J$4)+約款料金!$D$16,0),IF(($A42+G$6)&gt;約款料金!$B$9,ROUNDDOWN(($A42+G$6)*(約款料金!$C$17+$J$4)+約款料金!$C$16,0),ROUNDDOWN(($A42+G$6)*(約款料金!$B$17+$J$4)+約款料金!$B$16,0)))</f>
        <v>18708</v>
      </c>
      <c r="H42" s="372">
        <f>IF(($A42+H$6)&gt;約款料金!$C$9,ROUNDDOWN(($A42+H$6)*(約款料金!$D$17+$J$4)+約款料金!$D$16,0),IF(($A42+H$6)&gt;約款料金!$B$9,ROUNDDOWN(($A42+H$6)*(約款料金!$C$17+$J$4)+約款料金!$C$16,0),ROUNDDOWN(($A42+H$6)*(約款料金!$B$17+$J$4)+約款料金!$B$16,0)))</f>
        <v>18752</v>
      </c>
      <c r="I42" s="372">
        <f>IF(($A42+I$6)&gt;約款料金!$C$9,ROUNDDOWN(($A42+I$6)*(約款料金!$D$17+$J$4)+約款料金!$D$16,0),IF(($A42+I$6)&gt;約款料金!$B$9,ROUNDDOWN(($A42+I$6)*(約款料金!$C$17+$J$4)+約款料金!$C$16,0),ROUNDDOWN(($A42+I$6)*(約款料金!$B$17+$J$4)+約款料金!$B$16,0)))</f>
        <v>18797</v>
      </c>
      <c r="J42" s="372">
        <f>IF(($A42+J$6)&gt;約款料金!$C$9,ROUNDDOWN(($A42+J$6)*(約款料金!$D$17+$J$4)+約款料金!$D$16,0),IF(($A42+J$6)&gt;約款料金!$B$9,ROUNDDOWN(($A42+J$6)*(約款料金!$C$17+$J$4)+約款料金!$C$16,0),ROUNDDOWN(($A42+J$6)*(約款料金!$B$17+$J$4)+約款料金!$B$16,0)))</f>
        <v>18842</v>
      </c>
      <c r="K42" s="373">
        <f>IF(($A42+K$6)&gt;約款料金!$C$9,ROUNDDOWN(($A42+K$6)*(約款料金!$D$17+$J$4)+約款料金!$D$16,0),IF(($A42+K$6)&gt;約款料金!$B$9,ROUNDDOWN(($A42+K$6)*(約款料金!$C$17+$J$4)+約款料金!$C$16,0),ROUNDDOWN(($A42+K$6)*(約款料金!$B$17+$J$4)+約款料金!$B$16,0)))</f>
        <v>18887</v>
      </c>
    </row>
    <row r="43" spans="1:11">
      <c r="A43" s="379">
        <v>36</v>
      </c>
      <c r="B43" s="365">
        <f>IF(($A43+B$6)&gt;約款料金!$C$9,ROUNDDOWN(($A43+B$6)*(約款料金!$D$17+$J$4)+約款料金!$D$16,0),IF(($A43+B$6)&gt;約款料金!$B$9,ROUNDDOWN(($A43+B$6)*(約款料金!$C$17+$J$4)+約款料金!$C$16,0),ROUNDDOWN(($A43+B$6)*(約款料金!$B$17+$J$4)+約款料金!$B$16,0)))</f>
        <v>18932</v>
      </c>
      <c r="C43" s="360">
        <f>IF(($A43+C$6)&gt;約款料金!$C$9,ROUNDDOWN(($A43+C$6)*(約款料金!$D$17+$J$4)+約款料金!$D$16,0),IF(($A43+C$6)&gt;約款料金!$B$9,ROUNDDOWN(($A43+C$6)*(約款料金!$C$17+$J$4)+約款料金!$C$16,0),ROUNDDOWN(($A43+C$6)*(約款料金!$B$17+$J$4)+約款料金!$B$16,0)))</f>
        <v>18977</v>
      </c>
      <c r="D43" s="360">
        <f>IF(($A43+D$6)&gt;約款料金!$C$9,ROUNDDOWN(($A43+D$6)*(約款料金!$D$17+$J$4)+約款料金!$D$16,0),IF(($A43+D$6)&gt;約款料金!$B$9,ROUNDDOWN(($A43+D$6)*(約款料金!$C$17+$J$4)+約款料金!$C$16,0),ROUNDDOWN(($A43+D$6)*(約款料金!$B$17+$J$4)+約款料金!$B$16,0)))</f>
        <v>19022</v>
      </c>
      <c r="E43" s="360">
        <f>IF(($A43+E$6)&gt;約款料金!$C$9,ROUNDDOWN(($A43+E$6)*(約款料金!$D$17+$J$4)+約款料金!$D$16,0),IF(($A43+E$6)&gt;約款料金!$B$9,ROUNDDOWN(($A43+E$6)*(約款料金!$C$17+$J$4)+約款料金!$C$16,0),ROUNDDOWN(($A43+E$6)*(約款料金!$B$17+$J$4)+約款料金!$B$16,0)))</f>
        <v>19067</v>
      </c>
      <c r="F43" s="360">
        <f>IF(($A43+F$6)&gt;約款料金!$C$9,ROUNDDOWN(($A43+F$6)*(約款料金!$D$17+$J$4)+約款料金!$D$16,0),IF(($A43+F$6)&gt;約款料金!$B$9,ROUNDDOWN(($A43+F$6)*(約款料金!$C$17+$J$4)+約款料金!$C$16,0),ROUNDDOWN(($A43+F$6)*(約款料金!$B$17+$J$4)+約款料金!$B$16,0)))</f>
        <v>19112</v>
      </c>
      <c r="G43" s="360">
        <f>IF(($A43+G$6)&gt;約款料金!$C$9,ROUNDDOWN(($A43+G$6)*(約款料金!$D$17+$J$4)+約款料金!$D$16,0),IF(($A43+G$6)&gt;約款料金!$B$9,ROUNDDOWN(($A43+G$6)*(約款料金!$C$17+$J$4)+約款料金!$C$16,0),ROUNDDOWN(($A43+G$6)*(約款料金!$B$17+$J$4)+約款料金!$B$16,0)))</f>
        <v>19157</v>
      </c>
      <c r="H43" s="360">
        <f>IF(($A43+H$6)&gt;約款料金!$C$9,ROUNDDOWN(($A43+H$6)*(約款料金!$D$17+$J$4)+約款料金!$D$16,0),IF(($A43+H$6)&gt;約款料金!$B$9,ROUNDDOWN(($A43+H$6)*(約款料金!$C$17+$J$4)+約款料金!$C$16,0),ROUNDDOWN(($A43+H$6)*(約款料金!$B$17+$J$4)+約款料金!$B$16,0)))</f>
        <v>19201</v>
      </c>
      <c r="I43" s="360">
        <f>IF(($A43+I$6)&gt;約款料金!$C$9,ROUNDDOWN(($A43+I$6)*(約款料金!$D$17+$J$4)+約款料金!$D$16,0),IF(($A43+I$6)&gt;約款料金!$B$9,ROUNDDOWN(($A43+I$6)*(約款料金!$C$17+$J$4)+約款料金!$C$16,0),ROUNDDOWN(($A43+I$6)*(約款料金!$B$17+$J$4)+約款料金!$B$16,0)))</f>
        <v>19246</v>
      </c>
      <c r="J43" s="360">
        <f>IF(($A43+J$6)&gt;約款料金!$C$9,ROUNDDOWN(($A43+J$6)*(約款料金!$D$17+$J$4)+約款料金!$D$16,0),IF(($A43+J$6)&gt;約款料金!$B$9,ROUNDDOWN(($A43+J$6)*(約款料金!$C$17+$J$4)+約款料金!$C$16,0),ROUNDDOWN(($A43+J$6)*(約款料金!$B$17+$J$4)+約款料金!$B$16,0)))</f>
        <v>19291</v>
      </c>
      <c r="K43" s="366">
        <f>IF(($A43+K$6)&gt;約款料金!$C$9,ROUNDDOWN(($A43+K$6)*(約款料金!$D$17+$J$4)+約款料金!$D$16,0),IF(($A43+K$6)&gt;約款料金!$B$9,ROUNDDOWN(($A43+K$6)*(約款料金!$C$17+$J$4)+約款料金!$C$16,0),ROUNDDOWN(($A43+K$6)*(約款料金!$B$17+$J$4)+約款料金!$B$16,0)))</f>
        <v>19336</v>
      </c>
    </row>
    <row r="44" spans="1:11">
      <c r="A44" s="380">
        <v>37</v>
      </c>
      <c r="B44" s="365">
        <f>IF(($A44+B$6)&gt;約款料金!$C$9,ROUNDDOWN(($A44+B$6)*(約款料金!$D$17+$J$4)+約款料金!$D$16,0),IF(($A44+B$6)&gt;約款料金!$B$9,ROUNDDOWN(($A44+B$6)*(約款料金!$C$17+$J$4)+約款料金!$C$16,0),ROUNDDOWN(($A44+B$6)*(約款料金!$B$17+$J$4)+約款料金!$B$16,0)))</f>
        <v>19381</v>
      </c>
      <c r="C44" s="360">
        <f>IF(($A44+C$6)&gt;約款料金!$C$9,ROUNDDOWN(($A44+C$6)*(約款料金!$D$17+$J$4)+約款料金!$D$16,0),IF(($A44+C$6)&gt;約款料金!$B$9,ROUNDDOWN(($A44+C$6)*(約款料金!$C$17+$J$4)+約款料金!$C$16,0),ROUNDDOWN(($A44+C$6)*(約款料金!$B$17+$J$4)+約款料金!$B$16,0)))</f>
        <v>19426</v>
      </c>
      <c r="D44" s="360">
        <f>IF(($A44+D$6)&gt;約款料金!$C$9,ROUNDDOWN(($A44+D$6)*(約款料金!$D$17+$J$4)+約款料金!$D$16,0),IF(($A44+D$6)&gt;約款料金!$B$9,ROUNDDOWN(($A44+D$6)*(約款料金!$C$17+$J$4)+約款料金!$C$16,0),ROUNDDOWN(($A44+D$6)*(約款料金!$B$17+$J$4)+約款料金!$B$16,0)))</f>
        <v>19471</v>
      </c>
      <c r="E44" s="360">
        <f>IF(($A44+E$6)&gt;約款料金!$C$9,ROUNDDOWN(($A44+E$6)*(約款料金!$D$17+$J$4)+約款料金!$D$16,0),IF(($A44+E$6)&gt;約款料金!$B$9,ROUNDDOWN(($A44+E$6)*(約款料金!$C$17+$J$4)+約款料金!$C$16,0),ROUNDDOWN(($A44+E$6)*(約款料金!$B$17+$J$4)+約款料金!$B$16,0)))</f>
        <v>19516</v>
      </c>
      <c r="F44" s="360">
        <f>IF(($A44+F$6)&gt;約款料金!$C$9,ROUNDDOWN(($A44+F$6)*(約款料金!$D$17+$J$4)+約款料金!$D$16,0),IF(($A44+F$6)&gt;約款料金!$B$9,ROUNDDOWN(($A44+F$6)*(約款料金!$C$17+$J$4)+約款料金!$C$16,0),ROUNDDOWN(($A44+F$6)*(約款料金!$B$17+$J$4)+約款料金!$B$16,0)))</f>
        <v>19561</v>
      </c>
      <c r="G44" s="360">
        <f>IF(($A44+G$6)&gt;約款料金!$C$9,ROUNDDOWN(($A44+G$6)*(約款料金!$D$17+$J$4)+約款料金!$D$16,0),IF(($A44+G$6)&gt;約款料金!$B$9,ROUNDDOWN(($A44+G$6)*(約款料金!$C$17+$J$4)+約款料金!$C$16,0),ROUNDDOWN(($A44+G$6)*(約款料金!$B$17+$J$4)+約款料金!$B$16,0)))</f>
        <v>19606</v>
      </c>
      <c r="H44" s="360">
        <f>IF(($A44+H$6)&gt;約款料金!$C$9,ROUNDDOWN(($A44+H$6)*(約款料金!$D$17+$J$4)+約款料金!$D$16,0),IF(($A44+H$6)&gt;約款料金!$B$9,ROUNDDOWN(($A44+H$6)*(約款料金!$C$17+$J$4)+約款料金!$C$16,0),ROUNDDOWN(($A44+H$6)*(約款料金!$B$17+$J$4)+約款料金!$B$16,0)))</f>
        <v>19650</v>
      </c>
      <c r="I44" s="360">
        <f>IF(($A44+I$6)&gt;約款料金!$C$9,ROUNDDOWN(($A44+I$6)*(約款料金!$D$17+$J$4)+約款料金!$D$16,0),IF(($A44+I$6)&gt;約款料金!$B$9,ROUNDDOWN(($A44+I$6)*(約款料金!$C$17+$J$4)+約款料金!$C$16,0),ROUNDDOWN(($A44+I$6)*(約款料金!$B$17+$J$4)+約款料金!$B$16,0)))</f>
        <v>19695</v>
      </c>
      <c r="J44" s="360">
        <f>IF(($A44+J$6)&gt;約款料金!$C$9,ROUNDDOWN(($A44+J$6)*(約款料金!$D$17+$J$4)+約款料金!$D$16,0),IF(($A44+J$6)&gt;約款料金!$B$9,ROUNDDOWN(($A44+J$6)*(約款料金!$C$17+$J$4)+約款料金!$C$16,0),ROUNDDOWN(($A44+J$6)*(約款料金!$B$17+$J$4)+約款料金!$B$16,0)))</f>
        <v>19740</v>
      </c>
      <c r="K44" s="366">
        <f>IF(($A44+K$6)&gt;約款料金!$C$9,ROUNDDOWN(($A44+K$6)*(約款料金!$D$17+$J$4)+約款料金!$D$16,0),IF(($A44+K$6)&gt;約款料金!$B$9,ROUNDDOWN(($A44+K$6)*(約款料金!$C$17+$J$4)+約款料金!$C$16,0),ROUNDDOWN(($A44+K$6)*(約款料金!$B$17+$J$4)+約款料金!$B$16,0)))</f>
        <v>19785</v>
      </c>
    </row>
    <row r="45" spans="1:11">
      <c r="A45" s="380">
        <v>38</v>
      </c>
      <c r="B45" s="365">
        <f>IF(($A45+B$6)&gt;約款料金!$C$9,ROUNDDOWN(($A45+B$6)*(約款料金!$D$17+$J$4)+約款料金!$D$16,0),IF(($A45+B$6)&gt;約款料金!$B$9,ROUNDDOWN(($A45+B$6)*(約款料金!$C$17+$J$4)+約款料金!$C$16,0),ROUNDDOWN(($A45+B$6)*(約款料金!$B$17+$J$4)+約款料金!$B$16,0)))</f>
        <v>19830</v>
      </c>
      <c r="C45" s="360">
        <f>IF(($A45+C$6)&gt;約款料金!$C$9,ROUNDDOWN(($A45+C$6)*(約款料金!$D$17+$J$4)+約款料金!$D$16,0),IF(($A45+C$6)&gt;約款料金!$B$9,ROUNDDOWN(($A45+C$6)*(約款料金!$C$17+$J$4)+約款料金!$C$16,0),ROUNDDOWN(($A45+C$6)*(約款料金!$B$17+$J$4)+約款料金!$B$16,0)))</f>
        <v>19875</v>
      </c>
      <c r="D45" s="360">
        <f>IF(($A45+D$6)&gt;約款料金!$C$9,ROUNDDOWN(($A45+D$6)*(約款料金!$D$17+$J$4)+約款料金!$D$16,0),IF(($A45+D$6)&gt;約款料金!$B$9,ROUNDDOWN(($A45+D$6)*(約款料金!$C$17+$J$4)+約款料金!$C$16,0),ROUNDDOWN(($A45+D$6)*(約款料金!$B$17+$J$4)+約款料金!$B$16,0)))</f>
        <v>19920</v>
      </c>
      <c r="E45" s="360">
        <f>IF(($A45+E$6)&gt;約款料金!$C$9,ROUNDDOWN(($A45+E$6)*(約款料金!$D$17+$J$4)+約款料金!$D$16,0),IF(($A45+E$6)&gt;約款料金!$B$9,ROUNDDOWN(($A45+E$6)*(約款料金!$C$17+$J$4)+約款料金!$C$16,0),ROUNDDOWN(($A45+E$6)*(約款料金!$B$17+$J$4)+約款料金!$B$16,0)))</f>
        <v>19965</v>
      </c>
      <c r="F45" s="360">
        <f>IF(($A45+F$6)&gt;約款料金!$C$9,ROUNDDOWN(($A45+F$6)*(約款料金!$D$17+$J$4)+約款料金!$D$16,0),IF(($A45+F$6)&gt;約款料金!$B$9,ROUNDDOWN(($A45+F$6)*(約款料金!$C$17+$J$4)+約款料金!$C$16,0),ROUNDDOWN(($A45+F$6)*(約款料金!$B$17+$J$4)+約款料金!$B$16,0)))</f>
        <v>20010</v>
      </c>
      <c r="G45" s="360">
        <f>IF(($A45+G$6)&gt;約款料金!$C$9,ROUNDDOWN(($A45+G$6)*(約款料金!$D$17+$J$4)+約款料金!$D$16,0),IF(($A45+G$6)&gt;約款料金!$B$9,ROUNDDOWN(($A45+G$6)*(約款料金!$C$17+$J$4)+約款料金!$C$16,0),ROUNDDOWN(($A45+G$6)*(約款料金!$B$17+$J$4)+約款料金!$B$16,0)))</f>
        <v>20055</v>
      </c>
      <c r="H45" s="360">
        <f>IF(($A45+H$6)&gt;約款料金!$C$9,ROUNDDOWN(($A45+H$6)*(約款料金!$D$17+$J$4)+約款料金!$D$16,0),IF(($A45+H$6)&gt;約款料金!$B$9,ROUNDDOWN(($A45+H$6)*(約款料金!$C$17+$J$4)+約款料金!$C$16,0),ROUNDDOWN(($A45+H$6)*(約款料金!$B$17+$J$4)+約款料金!$B$16,0)))</f>
        <v>20099</v>
      </c>
      <c r="I45" s="360">
        <f>IF(($A45+I$6)&gt;約款料金!$C$9,ROUNDDOWN(($A45+I$6)*(約款料金!$D$17+$J$4)+約款料金!$D$16,0),IF(($A45+I$6)&gt;約款料金!$B$9,ROUNDDOWN(($A45+I$6)*(約款料金!$C$17+$J$4)+約款料金!$C$16,0),ROUNDDOWN(($A45+I$6)*(約款料金!$B$17+$J$4)+約款料金!$B$16,0)))</f>
        <v>20144</v>
      </c>
      <c r="J45" s="360">
        <f>IF(($A45+J$6)&gt;約款料金!$C$9,ROUNDDOWN(($A45+J$6)*(約款料金!$D$17+$J$4)+約款料金!$D$16,0),IF(($A45+J$6)&gt;約款料金!$B$9,ROUNDDOWN(($A45+J$6)*(約款料金!$C$17+$J$4)+約款料金!$C$16,0),ROUNDDOWN(($A45+J$6)*(約款料金!$B$17+$J$4)+約款料金!$B$16,0)))</f>
        <v>20189</v>
      </c>
      <c r="K45" s="366">
        <f>IF(($A45+K$6)&gt;約款料金!$C$9,ROUNDDOWN(($A45+K$6)*(約款料金!$D$17+$J$4)+約款料金!$D$16,0),IF(($A45+K$6)&gt;約款料金!$B$9,ROUNDDOWN(($A45+K$6)*(約款料金!$C$17+$J$4)+約款料金!$C$16,0),ROUNDDOWN(($A45+K$6)*(約款料金!$B$17+$J$4)+約款料金!$B$16,0)))</f>
        <v>20234</v>
      </c>
    </row>
    <row r="46" spans="1:11">
      <c r="A46" s="380">
        <v>39</v>
      </c>
      <c r="B46" s="365">
        <f>IF(($A46+B$6)&gt;約款料金!$C$9,ROUNDDOWN(($A46+B$6)*(約款料金!$D$17+$J$4)+約款料金!$D$16,0),IF(($A46+B$6)&gt;約款料金!$B$9,ROUNDDOWN(($A46+B$6)*(約款料金!$C$17+$J$4)+約款料金!$C$16,0),ROUNDDOWN(($A46+B$6)*(約款料金!$B$17+$J$4)+約款料金!$B$16,0)))</f>
        <v>20279</v>
      </c>
      <c r="C46" s="360">
        <f>IF(($A46+C$6)&gt;約款料金!$C$9,ROUNDDOWN(($A46+C$6)*(約款料金!$D$17+$J$4)+約款料金!$D$16,0),IF(($A46+C$6)&gt;約款料金!$B$9,ROUNDDOWN(($A46+C$6)*(約款料金!$C$17+$J$4)+約款料金!$C$16,0),ROUNDDOWN(($A46+C$6)*(約款料金!$B$17+$J$4)+約款料金!$B$16,0)))</f>
        <v>20324</v>
      </c>
      <c r="D46" s="360">
        <f>IF(($A46+D$6)&gt;約款料金!$C$9,ROUNDDOWN(($A46+D$6)*(約款料金!$D$17+$J$4)+約款料金!$D$16,0),IF(($A46+D$6)&gt;約款料金!$B$9,ROUNDDOWN(($A46+D$6)*(約款料金!$C$17+$J$4)+約款料金!$C$16,0),ROUNDDOWN(($A46+D$6)*(約款料金!$B$17+$J$4)+約款料金!$B$16,0)))</f>
        <v>20369</v>
      </c>
      <c r="E46" s="360">
        <f>IF(($A46+E$6)&gt;約款料金!$C$9,ROUNDDOWN(($A46+E$6)*(約款料金!$D$17+$J$4)+約款料金!$D$16,0),IF(($A46+E$6)&gt;約款料金!$B$9,ROUNDDOWN(($A46+E$6)*(約款料金!$C$17+$J$4)+約款料金!$C$16,0),ROUNDDOWN(($A46+E$6)*(約款料金!$B$17+$J$4)+約款料金!$B$16,0)))</f>
        <v>20414</v>
      </c>
      <c r="F46" s="360">
        <f>IF(($A46+F$6)&gt;約款料金!$C$9,ROUNDDOWN(($A46+F$6)*(約款料金!$D$17+$J$4)+約款料金!$D$16,0),IF(($A46+F$6)&gt;約款料金!$B$9,ROUNDDOWN(($A46+F$6)*(約款料金!$C$17+$J$4)+約款料金!$C$16,0),ROUNDDOWN(($A46+F$6)*(約款料金!$B$17+$J$4)+約款料金!$B$16,0)))</f>
        <v>20459</v>
      </c>
      <c r="G46" s="360">
        <f>IF(($A46+G$6)&gt;約款料金!$C$9,ROUNDDOWN(($A46+G$6)*(約款料金!$D$17+$J$4)+約款料金!$D$16,0),IF(($A46+G$6)&gt;約款料金!$B$9,ROUNDDOWN(($A46+G$6)*(約款料金!$C$17+$J$4)+約款料金!$C$16,0),ROUNDDOWN(($A46+G$6)*(約款料金!$B$17+$J$4)+約款料金!$B$16,0)))</f>
        <v>20504</v>
      </c>
      <c r="H46" s="360">
        <f>IF(($A46+H$6)&gt;約款料金!$C$9,ROUNDDOWN(($A46+H$6)*(約款料金!$D$17+$J$4)+約款料金!$D$16,0),IF(($A46+H$6)&gt;約款料金!$B$9,ROUNDDOWN(($A46+H$6)*(約款料金!$C$17+$J$4)+約款料金!$C$16,0),ROUNDDOWN(($A46+H$6)*(約款料金!$B$17+$J$4)+約款料金!$B$16,0)))</f>
        <v>20549</v>
      </c>
      <c r="I46" s="360">
        <f>IF(($A46+I$6)&gt;約款料金!$C$9,ROUNDDOWN(($A46+I$6)*(約款料金!$D$17+$J$4)+約款料金!$D$16,0),IF(($A46+I$6)&gt;約款料金!$B$9,ROUNDDOWN(($A46+I$6)*(約款料金!$C$17+$J$4)+約款料金!$C$16,0),ROUNDDOWN(($A46+I$6)*(約款料金!$B$17+$J$4)+約款料金!$B$16,0)))</f>
        <v>20593</v>
      </c>
      <c r="J46" s="360">
        <f>IF(($A46+J$6)&gt;約款料金!$C$9,ROUNDDOWN(($A46+J$6)*(約款料金!$D$17+$J$4)+約款料金!$D$16,0),IF(($A46+J$6)&gt;約款料金!$B$9,ROUNDDOWN(($A46+J$6)*(約款料金!$C$17+$J$4)+約款料金!$C$16,0),ROUNDDOWN(($A46+J$6)*(約款料金!$B$17+$J$4)+約款料金!$B$16,0)))</f>
        <v>20638</v>
      </c>
      <c r="K46" s="366">
        <f>IF(($A46+K$6)&gt;約款料金!$C$9,ROUNDDOWN(($A46+K$6)*(約款料金!$D$17+$J$4)+約款料金!$D$16,0),IF(($A46+K$6)&gt;約款料金!$B$9,ROUNDDOWN(($A46+K$6)*(約款料金!$C$17+$J$4)+約款料金!$C$16,0),ROUNDDOWN(($A46+K$6)*(約款料金!$B$17+$J$4)+約款料金!$B$16,0)))</f>
        <v>20683</v>
      </c>
    </row>
    <row r="47" spans="1:11">
      <c r="A47" s="382">
        <v>40</v>
      </c>
      <c r="B47" s="371">
        <f>IF(($A47+B$6)&gt;約款料金!$C$9,ROUNDDOWN(($A47+B$6)*(約款料金!$D$17+$J$4)+約款料金!$D$16,0),IF(($A47+B$6)&gt;約款料金!$B$9,ROUNDDOWN(($A47+B$6)*(約款料金!$C$17+$J$4)+約款料金!$C$16,0),ROUNDDOWN(($A47+B$6)*(約款料金!$B$17+$J$4)+約款料金!$B$16,0)))</f>
        <v>20728</v>
      </c>
      <c r="C47" s="372">
        <f>IF(($A47+C$6)&gt;約款料金!$C$9,ROUNDDOWN(($A47+C$6)*(約款料金!$D$17+$J$4)+約款料金!$D$16,0),IF(($A47+C$6)&gt;約款料金!$B$9,ROUNDDOWN(($A47+C$6)*(約款料金!$C$17+$J$4)+約款料金!$C$16,0),ROUNDDOWN(($A47+C$6)*(約款料金!$B$17+$J$4)+約款料金!$B$16,0)))</f>
        <v>20773</v>
      </c>
      <c r="D47" s="372">
        <f>IF(($A47+D$6)&gt;約款料金!$C$9,ROUNDDOWN(($A47+D$6)*(約款料金!$D$17+$J$4)+約款料金!$D$16,0),IF(($A47+D$6)&gt;約款料金!$B$9,ROUNDDOWN(($A47+D$6)*(約款料金!$C$17+$J$4)+約款料金!$C$16,0),ROUNDDOWN(($A47+D$6)*(約款料金!$B$17+$J$4)+約款料金!$B$16,0)))</f>
        <v>20818</v>
      </c>
      <c r="E47" s="372">
        <f>IF(($A47+E$6)&gt;約款料金!$C$9,ROUNDDOWN(($A47+E$6)*(約款料金!$D$17+$J$4)+約款料金!$D$16,0),IF(($A47+E$6)&gt;約款料金!$B$9,ROUNDDOWN(($A47+E$6)*(約款料金!$C$17+$J$4)+約款料金!$C$16,0),ROUNDDOWN(($A47+E$6)*(約款料金!$B$17+$J$4)+約款料金!$B$16,0)))</f>
        <v>20863</v>
      </c>
      <c r="F47" s="372">
        <f>IF(($A47+F$6)&gt;約款料金!$C$9,ROUNDDOWN(($A47+F$6)*(約款料金!$D$17+$J$4)+約款料金!$D$16,0),IF(($A47+F$6)&gt;約款料金!$B$9,ROUNDDOWN(($A47+F$6)*(約款料金!$C$17+$J$4)+約款料金!$C$16,0),ROUNDDOWN(($A47+F$6)*(約款料金!$B$17+$J$4)+約款料金!$B$16,0)))</f>
        <v>20908</v>
      </c>
      <c r="G47" s="372">
        <f>IF(($A47+G$6)&gt;約款料金!$C$9,ROUNDDOWN(($A47+G$6)*(約款料金!$D$17+$J$4)+約款料金!$D$16,0),IF(($A47+G$6)&gt;約款料金!$B$9,ROUNDDOWN(($A47+G$6)*(約款料金!$C$17+$J$4)+約款料金!$C$16,0),ROUNDDOWN(($A47+G$6)*(約款料金!$B$17+$J$4)+約款料金!$B$16,0)))</f>
        <v>20953</v>
      </c>
      <c r="H47" s="372">
        <f>IF(($A47+H$6)&gt;約款料金!$C$9,ROUNDDOWN(($A47+H$6)*(約款料金!$D$17+$J$4)+約款料金!$D$16,0),IF(($A47+H$6)&gt;約款料金!$B$9,ROUNDDOWN(($A47+H$6)*(約款料金!$C$17+$J$4)+約款料金!$C$16,0),ROUNDDOWN(($A47+H$6)*(約款料金!$B$17+$J$4)+約款料金!$B$16,0)))</f>
        <v>20998</v>
      </c>
      <c r="I47" s="372">
        <f>IF(($A47+I$6)&gt;約款料金!$C$9,ROUNDDOWN(($A47+I$6)*(約款料金!$D$17+$J$4)+約款料金!$D$16,0),IF(($A47+I$6)&gt;約款料金!$B$9,ROUNDDOWN(($A47+I$6)*(約款料金!$C$17+$J$4)+約款料金!$C$16,0),ROUNDDOWN(($A47+I$6)*(約款料金!$B$17+$J$4)+約款料金!$B$16,0)))</f>
        <v>21042</v>
      </c>
      <c r="J47" s="372">
        <f>IF(($A47+J$6)&gt;約款料金!$C$9,ROUNDDOWN(($A47+J$6)*(約款料金!$D$17+$J$4)+約款料金!$D$16,0),IF(($A47+J$6)&gt;約款料金!$B$9,ROUNDDOWN(($A47+J$6)*(約款料金!$C$17+$J$4)+約款料金!$C$16,0),ROUNDDOWN(($A47+J$6)*(約款料金!$B$17+$J$4)+約款料金!$B$16,0)))</f>
        <v>21087</v>
      </c>
      <c r="K47" s="373">
        <f>IF(($A47+K$6)&gt;約款料金!$C$9,ROUNDDOWN(($A47+K$6)*(約款料金!$D$17+$J$4)+約款料金!$D$16,0),IF(($A47+K$6)&gt;約款料金!$B$9,ROUNDDOWN(($A47+K$6)*(約款料金!$C$17+$J$4)+約款料金!$C$16,0),ROUNDDOWN(($A47+K$6)*(約款料金!$B$17+$J$4)+約款料金!$B$16,0)))</f>
        <v>21132</v>
      </c>
    </row>
    <row r="48" spans="1:11">
      <c r="A48" s="379">
        <v>41</v>
      </c>
      <c r="B48" s="365">
        <f>IF(($A48+B$6)&gt;約款料金!$C$9,ROUNDDOWN(($A48+B$6)*(約款料金!$D$17+$J$4)+約款料金!$D$16,0),IF(($A48+B$6)&gt;約款料金!$B$9,ROUNDDOWN(($A48+B$6)*(約款料金!$C$17+$J$4)+約款料金!$C$16,0),ROUNDDOWN(($A48+B$6)*(約款料金!$B$17+$J$4)+約款料金!$B$16,0)))</f>
        <v>21177</v>
      </c>
      <c r="C48" s="360">
        <f>IF(($A48+C$6)&gt;約款料金!$C$9,ROUNDDOWN(($A48+C$6)*(約款料金!$D$17+$J$4)+約款料金!$D$16,0),IF(($A48+C$6)&gt;約款料金!$B$9,ROUNDDOWN(($A48+C$6)*(約款料金!$C$17+$J$4)+約款料金!$C$16,0),ROUNDDOWN(($A48+C$6)*(約款料金!$B$17+$J$4)+約款料金!$B$16,0)))</f>
        <v>21222</v>
      </c>
      <c r="D48" s="360">
        <f>IF(($A48+D$6)&gt;約款料金!$C$9,ROUNDDOWN(($A48+D$6)*(約款料金!$D$17+$J$4)+約款料金!$D$16,0),IF(($A48+D$6)&gt;約款料金!$B$9,ROUNDDOWN(($A48+D$6)*(約款料金!$C$17+$J$4)+約款料金!$C$16,0),ROUNDDOWN(($A48+D$6)*(約款料金!$B$17+$J$4)+約款料金!$B$16,0)))</f>
        <v>21267</v>
      </c>
      <c r="E48" s="360">
        <f>IF(($A48+E$6)&gt;約款料金!$C$9,ROUNDDOWN(($A48+E$6)*(約款料金!$D$17+$J$4)+約款料金!$D$16,0),IF(($A48+E$6)&gt;約款料金!$B$9,ROUNDDOWN(($A48+E$6)*(約款料金!$C$17+$J$4)+約款料金!$C$16,0),ROUNDDOWN(($A48+E$6)*(約款料金!$B$17+$J$4)+約款料金!$B$16,0)))</f>
        <v>21312</v>
      </c>
      <c r="F48" s="360">
        <f>IF(($A48+F$6)&gt;約款料金!$C$9,ROUNDDOWN(($A48+F$6)*(約款料金!$D$17+$J$4)+約款料金!$D$16,0),IF(($A48+F$6)&gt;約款料金!$B$9,ROUNDDOWN(($A48+F$6)*(約款料金!$C$17+$J$4)+約款料金!$C$16,0),ROUNDDOWN(($A48+F$6)*(約款料金!$B$17+$J$4)+約款料金!$B$16,0)))</f>
        <v>21357</v>
      </c>
      <c r="G48" s="360">
        <f>IF(($A48+G$6)&gt;約款料金!$C$9,ROUNDDOWN(($A48+G$6)*(約款料金!$D$17+$J$4)+約款料金!$D$16,0),IF(($A48+G$6)&gt;約款料金!$B$9,ROUNDDOWN(($A48+G$6)*(約款料金!$C$17+$J$4)+約款料金!$C$16,0),ROUNDDOWN(($A48+G$6)*(約款料金!$B$17+$J$4)+約款料金!$B$16,0)))</f>
        <v>21402</v>
      </c>
      <c r="H48" s="360">
        <f>IF(($A48+H$6)&gt;約款料金!$C$9,ROUNDDOWN(($A48+H$6)*(約款料金!$D$17+$J$4)+約款料金!$D$16,0),IF(($A48+H$6)&gt;約款料金!$B$9,ROUNDDOWN(($A48+H$6)*(約款料金!$C$17+$J$4)+約款料金!$C$16,0),ROUNDDOWN(($A48+H$6)*(約款料金!$B$17+$J$4)+約款料金!$B$16,0)))</f>
        <v>21447</v>
      </c>
      <c r="I48" s="360">
        <f>IF(($A48+I$6)&gt;約款料金!$C$9,ROUNDDOWN(($A48+I$6)*(約款料金!$D$17+$J$4)+約款料金!$D$16,0),IF(($A48+I$6)&gt;約款料金!$B$9,ROUNDDOWN(($A48+I$6)*(約款料金!$C$17+$J$4)+約款料金!$C$16,0),ROUNDDOWN(($A48+I$6)*(約款料金!$B$17+$J$4)+約款料金!$B$16,0)))</f>
        <v>21491</v>
      </c>
      <c r="J48" s="360">
        <f>IF(($A48+J$6)&gt;約款料金!$C$9,ROUNDDOWN(($A48+J$6)*(約款料金!$D$17+$J$4)+約款料金!$D$16,0),IF(($A48+J$6)&gt;約款料金!$B$9,ROUNDDOWN(($A48+J$6)*(約款料金!$C$17+$J$4)+約款料金!$C$16,0),ROUNDDOWN(($A48+J$6)*(約款料金!$B$17+$J$4)+約款料金!$B$16,0)))</f>
        <v>21536</v>
      </c>
      <c r="K48" s="366">
        <f>IF(($A48+K$6)&gt;約款料金!$C$9,ROUNDDOWN(($A48+K$6)*(約款料金!$D$17+$J$4)+約款料金!$D$16,0),IF(($A48+K$6)&gt;約款料金!$B$9,ROUNDDOWN(($A48+K$6)*(約款料金!$C$17+$J$4)+約款料金!$C$16,0),ROUNDDOWN(($A48+K$6)*(約款料金!$B$17+$J$4)+約款料金!$B$16,0)))</f>
        <v>21581</v>
      </c>
    </row>
    <row r="49" spans="1:11">
      <c r="A49" s="380">
        <v>42</v>
      </c>
      <c r="B49" s="365">
        <f>IF(($A49+B$6)&gt;約款料金!$C$9,ROUNDDOWN(($A49+B$6)*(約款料金!$D$17+$J$4)+約款料金!$D$16,0),IF(($A49+B$6)&gt;約款料金!$B$9,ROUNDDOWN(($A49+B$6)*(約款料金!$C$17+$J$4)+約款料金!$C$16,0),ROUNDDOWN(($A49+B$6)*(約款料金!$B$17+$J$4)+約款料金!$B$16,0)))</f>
        <v>21626</v>
      </c>
      <c r="C49" s="360">
        <f>IF(($A49+C$6)&gt;約款料金!$C$9,ROUNDDOWN(($A49+C$6)*(約款料金!$D$17+$J$4)+約款料金!$D$16,0),IF(($A49+C$6)&gt;約款料金!$B$9,ROUNDDOWN(($A49+C$6)*(約款料金!$C$17+$J$4)+約款料金!$C$16,0),ROUNDDOWN(($A49+C$6)*(約款料金!$B$17+$J$4)+約款料金!$B$16,0)))</f>
        <v>21671</v>
      </c>
      <c r="D49" s="360">
        <f>IF(($A49+D$6)&gt;約款料金!$C$9,ROUNDDOWN(($A49+D$6)*(約款料金!$D$17+$J$4)+約款料金!$D$16,0),IF(($A49+D$6)&gt;約款料金!$B$9,ROUNDDOWN(($A49+D$6)*(約款料金!$C$17+$J$4)+約款料金!$C$16,0),ROUNDDOWN(($A49+D$6)*(約款料金!$B$17+$J$4)+約款料金!$B$16,0)))</f>
        <v>21716</v>
      </c>
      <c r="E49" s="360">
        <f>IF(($A49+E$6)&gt;約款料金!$C$9,ROUNDDOWN(($A49+E$6)*(約款料金!$D$17+$J$4)+約款料金!$D$16,0),IF(($A49+E$6)&gt;約款料金!$B$9,ROUNDDOWN(($A49+E$6)*(約款料金!$C$17+$J$4)+約款料金!$C$16,0),ROUNDDOWN(($A49+E$6)*(約款料金!$B$17+$J$4)+約款料金!$B$16,0)))</f>
        <v>21761</v>
      </c>
      <c r="F49" s="360">
        <f>IF(($A49+F$6)&gt;約款料金!$C$9,ROUNDDOWN(($A49+F$6)*(約款料金!$D$17+$J$4)+約款料金!$D$16,0),IF(($A49+F$6)&gt;約款料金!$B$9,ROUNDDOWN(($A49+F$6)*(約款料金!$C$17+$J$4)+約款料金!$C$16,0),ROUNDDOWN(($A49+F$6)*(約款料金!$B$17+$J$4)+約款料金!$B$16,0)))</f>
        <v>21806</v>
      </c>
      <c r="G49" s="360">
        <f>IF(($A49+G$6)&gt;約款料金!$C$9,ROUNDDOWN(($A49+G$6)*(約款料金!$D$17+$J$4)+約款料金!$D$16,0),IF(($A49+G$6)&gt;約款料金!$B$9,ROUNDDOWN(($A49+G$6)*(約款料金!$C$17+$J$4)+約款料金!$C$16,0),ROUNDDOWN(($A49+G$6)*(約款料金!$B$17+$J$4)+約款料金!$B$16,0)))</f>
        <v>21851</v>
      </c>
      <c r="H49" s="360">
        <f>IF(($A49+H$6)&gt;約款料金!$C$9,ROUNDDOWN(($A49+H$6)*(約款料金!$D$17+$J$4)+約款料金!$D$16,0),IF(($A49+H$6)&gt;約款料金!$B$9,ROUNDDOWN(($A49+H$6)*(約款料金!$C$17+$J$4)+約款料金!$C$16,0),ROUNDDOWN(($A49+H$6)*(約款料金!$B$17+$J$4)+約款料金!$B$16,0)))</f>
        <v>21896</v>
      </c>
      <c r="I49" s="360">
        <f>IF(($A49+I$6)&gt;約款料金!$C$9,ROUNDDOWN(($A49+I$6)*(約款料金!$D$17+$J$4)+約款料金!$D$16,0),IF(($A49+I$6)&gt;約款料金!$B$9,ROUNDDOWN(($A49+I$6)*(約款料金!$C$17+$J$4)+約款料金!$C$16,0),ROUNDDOWN(($A49+I$6)*(約款料金!$B$17+$J$4)+約款料金!$B$16,0)))</f>
        <v>21940</v>
      </c>
      <c r="J49" s="360">
        <f>IF(($A49+J$6)&gt;約款料金!$C$9,ROUNDDOWN(($A49+J$6)*(約款料金!$D$17+$J$4)+約款料金!$D$16,0),IF(($A49+J$6)&gt;約款料金!$B$9,ROUNDDOWN(($A49+J$6)*(約款料金!$C$17+$J$4)+約款料金!$C$16,0),ROUNDDOWN(($A49+J$6)*(約款料金!$B$17+$J$4)+約款料金!$B$16,0)))</f>
        <v>21985</v>
      </c>
      <c r="K49" s="366">
        <f>IF(($A49+K$6)&gt;約款料金!$C$9,ROUNDDOWN(($A49+K$6)*(約款料金!$D$17+$J$4)+約款料金!$D$16,0),IF(($A49+K$6)&gt;約款料金!$B$9,ROUNDDOWN(($A49+K$6)*(約款料金!$C$17+$J$4)+約款料金!$C$16,0),ROUNDDOWN(($A49+K$6)*(約款料金!$B$17+$J$4)+約款料金!$B$16,0)))</f>
        <v>22030</v>
      </c>
    </row>
    <row r="50" spans="1:11">
      <c r="A50" s="380">
        <v>43</v>
      </c>
      <c r="B50" s="365">
        <f>IF(($A50+B$6)&gt;約款料金!$C$9,ROUNDDOWN(($A50+B$6)*(約款料金!$D$17+$J$4)+約款料金!$D$16,0),IF(($A50+B$6)&gt;約款料金!$B$9,ROUNDDOWN(($A50+B$6)*(約款料金!$C$17+$J$4)+約款料金!$C$16,0),ROUNDDOWN(($A50+B$6)*(約款料金!$B$17+$J$4)+約款料金!$B$16,0)))</f>
        <v>22075</v>
      </c>
      <c r="C50" s="360">
        <f>IF(($A50+C$6)&gt;約款料金!$C$9,ROUNDDOWN(($A50+C$6)*(約款料金!$D$17+$J$4)+約款料金!$D$16,0),IF(($A50+C$6)&gt;約款料金!$B$9,ROUNDDOWN(($A50+C$6)*(約款料金!$C$17+$J$4)+約款料金!$C$16,0),ROUNDDOWN(($A50+C$6)*(約款料金!$B$17+$J$4)+約款料金!$B$16,0)))</f>
        <v>22120</v>
      </c>
      <c r="D50" s="360">
        <f>IF(($A50+D$6)&gt;約款料金!$C$9,ROUNDDOWN(($A50+D$6)*(約款料金!$D$17+$J$4)+約款料金!$D$16,0),IF(($A50+D$6)&gt;約款料金!$B$9,ROUNDDOWN(($A50+D$6)*(約款料金!$C$17+$J$4)+約款料金!$C$16,0),ROUNDDOWN(($A50+D$6)*(約款料金!$B$17+$J$4)+約款料金!$B$16,0)))</f>
        <v>22165</v>
      </c>
      <c r="E50" s="360">
        <f>IF(($A50+E$6)&gt;約款料金!$C$9,ROUNDDOWN(($A50+E$6)*(約款料金!$D$17+$J$4)+約款料金!$D$16,0),IF(($A50+E$6)&gt;約款料金!$B$9,ROUNDDOWN(($A50+E$6)*(約款料金!$C$17+$J$4)+約款料金!$C$16,0),ROUNDDOWN(($A50+E$6)*(約款料金!$B$17+$J$4)+約款料金!$B$16,0)))</f>
        <v>22210</v>
      </c>
      <c r="F50" s="360">
        <f>IF(($A50+F$6)&gt;約款料金!$C$9,ROUNDDOWN(($A50+F$6)*(約款料金!$D$17+$J$4)+約款料金!$D$16,0),IF(($A50+F$6)&gt;約款料金!$B$9,ROUNDDOWN(($A50+F$6)*(約款料金!$C$17+$J$4)+約款料金!$C$16,0),ROUNDDOWN(($A50+F$6)*(約款料金!$B$17+$J$4)+約款料金!$B$16,0)))</f>
        <v>22255</v>
      </c>
      <c r="G50" s="360">
        <f>IF(($A50+G$6)&gt;約款料金!$C$9,ROUNDDOWN(($A50+G$6)*(約款料金!$D$17+$J$4)+約款料金!$D$16,0),IF(($A50+G$6)&gt;約款料金!$B$9,ROUNDDOWN(($A50+G$6)*(約款料金!$C$17+$J$4)+約款料金!$C$16,0),ROUNDDOWN(($A50+G$6)*(約款料金!$B$17+$J$4)+約款料金!$B$16,0)))</f>
        <v>22300</v>
      </c>
      <c r="H50" s="360">
        <f>IF(($A50+H$6)&gt;約款料金!$C$9,ROUNDDOWN(($A50+H$6)*(約款料金!$D$17+$J$4)+約款料金!$D$16,0),IF(($A50+H$6)&gt;約款料金!$B$9,ROUNDDOWN(($A50+H$6)*(約款料金!$C$17+$J$4)+約款料金!$C$16,0),ROUNDDOWN(($A50+H$6)*(約款料金!$B$17+$J$4)+約款料金!$B$16,0)))</f>
        <v>22345</v>
      </c>
      <c r="I50" s="360">
        <f>IF(($A50+I$6)&gt;約款料金!$C$9,ROUNDDOWN(($A50+I$6)*(約款料金!$D$17+$J$4)+約款料金!$D$16,0),IF(($A50+I$6)&gt;約款料金!$B$9,ROUNDDOWN(($A50+I$6)*(約款料金!$C$17+$J$4)+約款料金!$C$16,0),ROUNDDOWN(($A50+I$6)*(約款料金!$B$17+$J$4)+約款料金!$B$16,0)))</f>
        <v>22389</v>
      </c>
      <c r="J50" s="360">
        <f>IF(($A50+J$6)&gt;約款料金!$C$9,ROUNDDOWN(($A50+J$6)*(約款料金!$D$17+$J$4)+約款料金!$D$16,0),IF(($A50+J$6)&gt;約款料金!$B$9,ROUNDDOWN(($A50+J$6)*(約款料金!$C$17+$J$4)+約款料金!$C$16,0),ROUNDDOWN(($A50+J$6)*(約款料金!$B$17+$J$4)+約款料金!$B$16,0)))</f>
        <v>22434</v>
      </c>
      <c r="K50" s="366">
        <f>IF(($A50+K$6)&gt;約款料金!$C$9,ROUNDDOWN(($A50+K$6)*(約款料金!$D$17+$J$4)+約款料金!$D$16,0),IF(($A50+K$6)&gt;約款料金!$B$9,ROUNDDOWN(($A50+K$6)*(約款料金!$C$17+$J$4)+約款料金!$C$16,0),ROUNDDOWN(($A50+K$6)*(約款料金!$B$17+$J$4)+約款料金!$B$16,0)))</f>
        <v>22479</v>
      </c>
    </row>
    <row r="51" spans="1:11">
      <c r="A51" s="380">
        <v>44</v>
      </c>
      <c r="B51" s="365">
        <f>IF(($A51+B$6)&gt;約款料金!$C$9,ROUNDDOWN(($A51+B$6)*(約款料金!$D$17+$J$4)+約款料金!$D$16,0),IF(($A51+B$6)&gt;約款料金!$B$9,ROUNDDOWN(($A51+B$6)*(約款料金!$C$17+$J$4)+約款料金!$C$16,0),ROUNDDOWN(($A51+B$6)*(約款料金!$B$17+$J$4)+約款料金!$B$16,0)))</f>
        <v>22524</v>
      </c>
      <c r="C51" s="360">
        <f>IF(($A51+C$6)&gt;約款料金!$C$9,ROUNDDOWN(($A51+C$6)*(約款料金!$D$17+$J$4)+約款料金!$D$16,0),IF(($A51+C$6)&gt;約款料金!$B$9,ROUNDDOWN(($A51+C$6)*(約款料金!$C$17+$J$4)+約款料金!$C$16,0),ROUNDDOWN(($A51+C$6)*(約款料金!$B$17+$J$4)+約款料金!$B$16,0)))</f>
        <v>22569</v>
      </c>
      <c r="D51" s="360">
        <f>IF(($A51+D$6)&gt;約款料金!$C$9,ROUNDDOWN(($A51+D$6)*(約款料金!$D$17+$J$4)+約款料金!$D$16,0),IF(($A51+D$6)&gt;約款料金!$B$9,ROUNDDOWN(($A51+D$6)*(約款料金!$C$17+$J$4)+約款料金!$C$16,0),ROUNDDOWN(($A51+D$6)*(約款料金!$B$17+$J$4)+約款料金!$B$16,0)))</f>
        <v>22614</v>
      </c>
      <c r="E51" s="360">
        <f>IF(($A51+E$6)&gt;約款料金!$C$9,ROUNDDOWN(($A51+E$6)*(約款料金!$D$17+$J$4)+約款料金!$D$16,0),IF(($A51+E$6)&gt;約款料金!$B$9,ROUNDDOWN(($A51+E$6)*(約款料金!$C$17+$J$4)+約款料金!$C$16,0),ROUNDDOWN(($A51+E$6)*(約款料金!$B$17+$J$4)+約款料金!$B$16,0)))</f>
        <v>22659</v>
      </c>
      <c r="F51" s="360">
        <f>IF(($A51+F$6)&gt;約款料金!$C$9,ROUNDDOWN(($A51+F$6)*(約款料金!$D$17+$J$4)+約款料金!$D$16,0),IF(($A51+F$6)&gt;約款料金!$B$9,ROUNDDOWN(($A51+F$6)*(約款料金!$C$17+$J$4)+約款料金!$C$16,0),ROUNDDOWN(($A51+F$6)*(約款料金!$B$17+$J$4)+約款料金!$B$16,0)))</f>
        <v>22704</v>
      </c>
      <c r="G51" s="360">
        <f>IF(($A51+G$6)&gt;約款料金!$C$9,ROUNDDOWN(($A51+G$6)*(約款料金!$D$17+$J$4)+約款料金!$D$16,0),IF(($A51+G$6)&gt;約款料金!$B$9,ROUNDDOWN(($A51+G$6)*(約款料金!$C$17+$J$4)+約款料金!$C$16,0),ROUNDDOWN(($A51+G$6)*(約款料金!$B$17+$J$4)+約款料金!$B$16,0)))</f>
        <v>22749</v>
      </c>
      <c r="H51" s="360">
        <f>IF(($A51+H$6)&gt;約款料金!$C$9,ROUNDDOWN(($A51+H$6)*(約款料金!$D$17+$J$4)+約款料金!$D$16,0),IF(($A51+H$6)&gt;約款料金!$B$9,ROUNDDOWN(($A51+H$6)*(約款料金!$C$17+$J$4)+約款料金!$C$16,0),ROUNDDOWN(($A51+H$6)*(約款料金!$B$17+$J$4)+約款料金!$B$16,0)))</f>
        <v>22794</v>
      </c>
      <c r="I51" s="360">
        <f>IF(($A51+I$6)&gt;約款料金!$C$9,ROUNDDOWN(($A51+I$6)*(約款料金!$D$17+$J$4)+約款料金!$D$16,0),IF(($A51+I$6)&gt;約款料金!$B$9,ROUNDDOWN(($A51+I$6)*(約款料金!$C$17+$J$4)+約款料金!$C$16,0),ROUNDDOWN(($A51+I$6)*(約款料金!$B$17+$J$4)+約款料金!$B$16,0)))</f>
        <v>22839</v>
      </c>
      <c r="J51" s="360">
        <f>IF(($A51+J$6)&gt;約款料金!$C$9,ROUNDDOWN(($A51+J$6)*(約款料金!$D$17+$J$4)+約款料金!$D$16,0),IF(($A51+J$6)&gt;約款料金!$B$9,ROUNDDOWN(($A51+J$6)*(約款料金!$C$17+$J$4)+約款料金!$C$16,0),ROUNDDOWN(($A51+J$6)*(約款料金!$B$17+$J$4)+約款料金!$B$16,0)))</f>
        <v>22883</v>
      </c>
      <c r="K51" s="366">
        <f>IF(($A51+K$6)&gt;約款料金!$C$9,ROUNDDOWN(($A51+K$6)*(約款料金!$D$17+$J$4)+約款料金!$D$16,0),IF(($A51+K$6)&gt;約款料金!$B$9,ROUNDDOWN(($A51+K$6)*(約款料金!$C$17+$J$4)+約款料金!$C$16,0),ROUNDDOWN(($A51+K$6)*(約款料金!$B$17+$J$4)+約款料金!$B$16,0)))</f>
        <v>22928</v>
      </c>
    </row>
    <row r="52" spans="1:11">
      <c r="A52" s="382">
        <v>45</v>
      </c>
      <c r="B52" s="371">
        <f>IF(($A52+B$6)&gt;約款料金!$C$9,ROUNDDOWN(($A52+B$6)*(約款料金!$D$17+$J$4)+約款料金!$D$16,0),IF(($A52+B$6)&gt;約款料金!$B$9,ROUNDDOWN(($A52+B$6)*(約款料金!$C$17+$J$4)+約款料金!$C$16,0),ROUNDDOWN(($A52+B$6)*(約款料金!$B$17+$J$4)+約款料金!$B$16,0)))</f>
        <v>22973</v>
      </c>
      <c r="C52" s="372">
        <f>IF(($A52+C$6)&gt;約款料金!$C$9,ROUNDDOWN(($A52+C$6)*(約款料金!$D$17+$J$4)+約款料金!$D$16,0),IF(($A52+C$6)&gt;約款料金!$B$9,ROUNDDOWN(($A52+C$6)*(約款料金!$C$17+$J$4)+約款料金!$C$16,0),ROUNDDOWN(($A52+C$6)*(約款料金!$B$17+$J$4)+約款料金!$B$16,0)))</f>
        <v>23018</v>
      </c>
      <c r="D52" s="372">
        <f>IF(($A52+D$6)&gt;約款料金!$C$9,ROUNDDOWN(($A52+D$6)*(約款料金!$D$17+$J$4)+約款料金!$D$16,0),IF(($A52+D$6)&gt;約款料金!$B$9,ROUNDDOWN(($A52+D$6)*(約款料金!$C$17+$J$4)+約款料金!$C$16,0),ROUNDDOWN(($A52+D$6)*(約款料金!$B$17+$J$4)+約款料金!$B$16,0)))</f>
        <v>23063</v>
      </c>
      <c r="E52" s="372">
        <f>IF(($A52+E$6)&gt;約款料金!$C$9,ROUNDDOWN(($A52+E$6)*(約款料金!$D$17+$J$4)+約款料金!$D$16,0),IF(($A52+E$6)&gt;約款料金!$B$9,ROUNDDOWN(($A52+E$6)*(約款料金!$C$17+$J$4)+約款料金!$C$16,0),ROUNDDOWN(($A52+E$6)*(約款料金!$B$17+$J$4)+約款料金!$B$16,0)))</f>
        <v>23108</v>
      </c>
      <c r="F52" s="372">
        <f>IF(($A52+F$6)&gt;約款料金!$C$9,ROUNDDOWN(($A52+F$6)*(約款料金!$D$17+$J$4)+約款料金!$D$16,0),IF(($A52+F$6)&gt;約款料金!$B$9,ROUNDDOWN(($A52+F$6)*(約款料金!$C$17+$J$4)+約款料金!$C$16,0),ROUNDDOWN(($A52+F$6)*(約款料金!$B$17+$J$4)+約款料金!$B$16,0)))</f>
        <v>23153</v>
      </c>
      <c r="G52" s="372">
        <f>IF(($A52+G$6)&gt;約款料金!$C$9,ROUNDDOWN(($A52+G$6)*(約款料金!$D$17+$J$4)+約款料金!$D$16,0),IF(($A52+G$6)&gt;約款料金!$B$9,ROUNDDOWN(($A52+G$6)*(約款料金!$C$17+$J$4)+約款料金!$C$16,0),ROUNDDOWN(($A52+G$6)*(約款料金!$B$17+$J$4)+約款料金!$B$16,0)))</f>
        <v>23198</v>
      </c>
      <c r="H52" s="372">
        <f>IF(($A52+H$6)&gt;約款料金!$C$9,ROUNDDOWN(($A52+H$6)*(約款料金!$D$17+$J$4)+約款料金!$D$16,0),IF(($A52+H$6)&gt;約款料金!$B$9,ROUNDDOWN(($A52+H$6)*(約款料金!$C$17+$J$4)+約款料金!$C$16,0),ROUNDDOWN(($A52+H$6)*(約款料金!$B$17+$J$4)+約款料金!$B$16,0)))</f>
        <v>23243</v>
      </c>
      <c r="I52" s="372">
        <f>IF(($A52+I$6)&gt;約款料金!$C$9,ROUNDDOWN(($A52+I$6)*(約款料金!$D$17+$J$4)+約款料金!$D$16,0),IF(($A52+I$6)&gt;約款料金!$B$9,ROUNDDOWN(($A52+I$6)*(約款料金!$C$17+$J$4)+約款料金!$C$16,0),ROUNDDOWN(($A52+I$6)*(約款料金!$B$17+$J$4)+約款料金!$B$16,0)))</f>
        <v>23288</v>
      </c>
      <c r="J52" s="372">
        <f>IF(($A52+J$6)&gt;約款料金!$C$9,ROUNDDOWN(($A52+J$6)*(約款料金!$D$17+$J$4)+約款料金!$D$16,0),IF(($A52+J$6)&gt;約款料金!$B$9,ROUNDDOWN(($A52+J$6)*(約款料金!$C$17+$J$4)+約款料金!$C$16,0),ROUNDDOWN(($A52+J$6)*(約款料金!$B$17+$J$4)+約款料金!$B$16,0)))</f>
        <v>23332</v>
      </c>
      <c r="K52" s="373">
        <f>IF(($A52+K$6)&gt;約款料金!$C$9,ROUNDDOWN(($A52+K$6)*(約款料金!$D$17+$J$4)+約款料金!$D$16,0),IF(($A52+K$6)&gt;約款料金!$B$9,ROUNDDOWN(($A52+K$6)*(約款料金!$C$17+$J$4)+約款料金!$C$16,0),ROUNDDOWN(($A52+K$6)*(約款料金!$B$17+$J$4)+約款料金!$B$16,0)))</f>
        <v>23377</v>
      </c>
    </row>
    <row r="53" spans="1:11">
      <c r="A53" s="379">
        <v>46</v>
      </c>
      <c r="B53" s="365">
        <f>IF(($A53+B$6)&gt;約款料金!$C$9,ROUNDDOWN(($A53+B$6)*(約款料金!$D$17+$J$4)+約款料金!$D$16,0),IF(($A53+B$6)&gt;約款料金!$B$9,ROUNDDOWN(($A53+B$6)*(約款料金!$C$17+$J$4)+約款料金!$C$16,0),ROUNDDOWN(($A53+B$6)*(約款料金!$B$17+$J$4)+約款料金!$B$16,0)))</f>
        <v>23422</v>
      </c>
      <c r="C53" s="360">
        <f>IF(($A53+C$6)&gt;約款料金!$C$9,ROUNDDOWN(($A53+C$6)*(約款料金!$D$17+$J$4)+約款料金!$D$16,0),IF(($A53+C$6)&gt;約款料金!$B$9,ROUNDDOWN(($A53+C$6)*(約款料金!$C$17+$J$4)+約款料金!$C$16,0),ROUNDDOWN(($A53+C$6)*(約款料金!$B$17+$J$4)+約款料金!$B$16,0)))</f>
        <v>23467</v>
      </c>
      <c r="D53" s="360">
        <f>IF(($A53+D$6)&gt;約款料金!$C$9,ROUNDDOWN(($A53+D$6)*(約款料金!$D$17+$J$4)+約款料金!$D$16,0),IF(($A53+D$6)&gt;約款料金!$B$9,ROUNDDOWN(($A53+D$6)*(約款料金!$C$17+$J$4)+約款料金!$C$16,0),ROUNDDOWN(($A53+D$6)*(約款料金!$B$17+$J$4)+約款料金!$B$16,0)))</f>
        <v>23512</v>
      </c>
      <c r="E53" s="360">
        <f>IF(($A53+E$6)&gt;約款料金!$C$9,ROUNDDOWN(($A53+E$6)*(約款料金!$D$17+$J$4)+約款料金!$D$16,0),IF(($A53+E$6)&gt;約款料金!$B$9,ROUNDDOWN(($A53+E$6)*(約款料金!$C$17+$J$4)+約款料金!$C$16,0),ROUNDDOWN(($A53+E$6)*(約款料金!$B$17+$J$4)+約款料金!$B$16,0)))</f>
        <v>23557</v>
      </c>
      <c r="F53" s="360">
        <f>IF(($A53+F$6)&gt;約款料金!$C$9,ROUNDDOWN(($A53+F$6)*(約款料金!$D$17+$J$4)+約款料金!$D$16,0),IF(($A53+F$6)&gt;約款料金!$B$9,ROUNDDOWN(($A53+F$6)*(約款料金!$C$17+$J$4)+約款料金!$C$16,0),ROUNDDOWN(($A53+F$6)*(約款料金!$B$17+$J$4)+約款料金!$B$16,0)))</f>
        <v>23602</v>
      </c>
      <c r="G53" s="360">
        <f>IF(($A53+G$6)&gt;約款料金!$C$9,ROUNDDOWN(($A53+G$6)*(約款料金!$D$17+$J$4)+約款料金!$D$16,0),IF(($A53+G$6)&gt;約款料金!$B$9,ROUNDDOWN(($A53+G$6)*(約款料金!$C$17+$J$4)+約款料金!$C$16,0),ROUNDDOWN(($A53+G$6)*(約款料金!$B$17+$J$4)+約款料金!$B$16,0)))</f>
        <v>23647</v>
      </c>
      <c r="H53" s="360">
        <f>IF(($A53+H$6)&gt;約款料金!$C$9,ROUNDDOWN(($A53+H$6)*(約款料金!$D$17+$J$4)+約款料金!$D$16,0),IF(($A53+H$6)&gt;約款料金!$B$9,ROUNDDOWN(($A53+H$6)*(約款料金!$C$17+$J$4)+約款料金!$C$16,0),ROUNDDOWN(($A53+H$6)*(約款料金!$B$17+$J$4)+約款料金!$B$16,0)))</f>
        <v>23692</v>
      </c>
      <c r="I53" s="360">
        <f>IF(($A53+I$6)&gt;約款料金!$C$9,ROUNDDOWN(($A53+I$6)*(約款料金!$D$17+$J$4)+約款料金!$D$16,0),IF(($A53+I$6)&gt;約款料金!$B$9,ROUNDDOWN(($A53+I$6)*(約款料金!$C$17+$J$4)+約款料金!$C$16,0),ROUNDDOWN(($A53+I$6)*(約款料金!$B$17+$J$4)+約款料金!$B$16,0)))</f>
        <v>23737</v>
      </c>
      <c r="J53" s="360">
        <f>IF(($A53+J$6)&gt;約款料金!$C$9,ROUNDDOWN(($A53+J$6)*(約款料金!$D$17+$J$4)+約款料金!$D$16,0),IF(($A53+J$6)&gt;約款料金!$B$9,ROUNDDOWN(($A53+J$6)*(約款料金!$C$17+$J$4)+約款料金!$C$16,0),ROUNDDOWN(($A53+J$6)*(約款料金!$B$17+$J$4)+約款料金!$B$16,0)))</f>
        <v>23781</v>
      </c>
      <c r="K53" s="366">
        <f>IF(($A53+K$6)&gt;約款料金!$C$9,ROUNDDOWN(($A53+K$6)*(約款料金!$D$17+$J$4)+約款料金!$D$16,0),IF(($A53+K$6)&gt;約款料金!$B$9,ROUNDDOWN(($A53+K$6)*(約款料金!$C$17+$J$4)+約款料金!$C$16,0),ROUNDDOWN(($A53+K$6)*(約款料金!$B$17+$J$4)+約款料金!$B$16,0)))</f>
        <v>23826</v>
      </c>
    </row>
    <row r="54" spans="1:11">
      <c r="A54" s="380">
        <v>47</v>
      </c>
      <c r="B54" s="365">
        <f>IF(($A54+B$6)&gt;約款料金!$C$9,ROUNDDOWN(($A54+B$6)*(約款料金!$D$17+$J$4)+約款料金!$D$16,0),IF(($A54+B$6)&gt;約款料金!$B$9,ROUNDDOWN(($A54+B$6)*(約款料金!$C$17+$J$4)+約款料金!$C$16,0),ROUNDDOWN(($A54+B$6)*(約款料金!$B$17+$J$4)+約款料金!$B$16,0)))</f>
        <v>23871</v>
      </c>
      <c r="C54" s="360">
        <f>IF(($A54+C$6)&gt;約款料金!$C$9,ROUNDDOWN(($A54+C$6)*(約款料金!$D$17+$J$4)+約款料金!$D$16,0),IF(($A54+C$6)&gt;約款料金!$B$9,ROUNDDOWN(($A54+C$6)*(約款料金!$C$17+$J$4)+約款料金!$C$16,0),ROUNDDOWN(($A54+C$6)*(約款料金!$B$17+$J$4)+約款料金!$B$16,0)))</f>
        <v>23916</v>
      </c>
      <c r="D54" s="360">
        <f>IF(($A54+D$6)&gt;約款料金!$C$9,ROUNDDOWN(($A54+D$6)*(約款料金!$D$17+$J$4)+約款料金!$D$16,0),IF(($A54+D$6)&gt;約款料金!$B$9,ROUNDDOWN(($A54+D$6)*(約款料金!$C$17+$J$4)+約款料金!$C$16,0),ROUNDDOWN(($A54+D$6)*(約款料金!$B$17+$J$4)+約款料金!$B$16,0)))</f>
        <v>23961</v>
      </c>
      <c r="E54" s="360">
        <f>IF(($A54+E$6)&gt;約款料金!$C$9,ROUNDDOWN(($A54+E$6)*(約款料金!$D$17+$J$4)+約款料金!$D$16,0),IF(($A54+E$6)&gt;約款料金!$B$9,ROUNDDOWN(($A54+E$6)*(約款料金!$C$17+$J$4)+約款料金!$C$16,0),ROUNDDOWN(($A54+E$6)*(約款料金!$B$17+$J$4)+約款料金!$B$16,0)))</f>
        <v>24006</v>
      </c>
      <c r="F54" s="360">
        <f>IF(($A54+F$6)&gt;約款料金!$C$9,ROUNDDOWN(($A54+F$6)*(約款料金!$D$17+$J$4)+約款料金!$D$16,0),IF(($A54+F$6)&gt;約款料金!$B$9,ROUNDDOWN(($A54+F$6)*(約款料金!$C$17+$J$4)+約款料金!$C$16,0),ROUNDDOWN(($A54+F$6)*(約款料金!$B$17+$J$4)+約款料金!$B$16,0)))</f>
        <v>24051</v>
      </c>
      <c r="G54" s="360">
        <f>IF(($A54+G$6)&gt;約款料金!$C$9,ROUNDDOWN(($A54+G$6)*(約款料金!$D$17+$J$4)+約款料金!$D$16,0),IF(($A54+G$6)&gt;約款料金!$B$9,ROUNDDOWN(($A54+G$6)*(約款料金!$C$17+$J$4)+約款料金!$C$16,0),ROUNDDOWN(($A54+G$6)*(約款料金!$B$17+$J$4)+約款料金!$B$16,0)))</f>
        <v>24096</v>
      </c>
      <c r="H54" s="360">
        <f>IF(($A54+H$6)&gt;約款料金!$C$9,ROUNDDOWN(($A54+H$6)*(約款料金!$D$17+$J$4)+約款料金!$D$16,0),IF(($A54+H$6)&gt;約款料金!$B$9,ROUNDDOWN(($A54+H$6)*(約款料金!$C$17+$J$4)+約款料金!$C$16,0),ROUNDDOWN(($A54+H$6)*(約款料金!$B$17+$J$4)+約款料金!$B$16,0)))</f>
        <v>24141</v>
      </c>
      <c r="I54" s="360">
        <f>IF(($A54+I$6)&gt;約款料金!$C$9,ROUNDDOWN(($A54+I$6)*(約款料金!$D$17+$J$4)+約款料金!$D$16,0),IF(($A54+I$6)&gt;約款料金!$B$9,ROUNDDOWN(($A54+I$6)*(約款料金!$C$17+$J$4)+約款料金!$C$16,0),ROUNDDOWN(($A54+I$6)*(約款料金!$B$17+$J$4)+約款料金!$B$16,0)))</f>
        <v>24186</v>
      </c>
      <c r="J54" s="360">
        <f>IF(($A54+J$6)&gt;約款料金!$C$9,ROUNDDOWN(($A54+J$6)*(約款料金!$D$17+$J$4)+約款料金!$D$16,0),IF(($A54+J$6)&gt;約款料金!$B$9,ROUNDDOWN(($A54+J$6)*(約款料金!$C$17+$J$4)+約款料金!$C$16,0),ROUNDDOWN(($A54+J$6)*(約款料金!$B$17+$J$4)+約款料金!$B$16,0)))</f>
        <v>24230</v>
      </c>
      <c r="K54" s="366">
        <f>IF(($A54+K$6)&gt;約款料金!$C$9,ROUNDDOWN(($A54+K$6)*(約款料金!$D$17+$J$4)+約款料金!$D$16,0),IF(($A54+K$6)&gt;約款料金!$B$9,ROUNDDOWN(($A54+K$6)*(約款料金!$C$17+$J$4)+約款料金!$C$16,0),ROUNDDOWN(($A54+K$6)*(約款料金!$B$17+$J$4)+約款料金!$B$16,0)))</f>
        <v>24275</v>
      </c>
    </row>
    <row r="55" spans="1:11">
      <c r="A55" s="380">
        <v>48</v>
      </c>
      <c r="B55" s="365">
        <f>IF(($A55+B$6)&gt;約款料金!$C$9,ROUNDDOWN(($A55+B$6)*(約款料金!$D$17+$J$4)+約款料金!$D$16,0),IF(($A55+B$6)&gt;約款料金!$B$9,ROUNDDOWN(($A55+B$6)*(約款料金!$C$17+$J$4)+約款料金!$C$16,0),ROUNDDOWN(($A55+B$6)*(約款料金!$B$17+$J$4)+約款料金!$B$16,0)))</f>
        <v>24320</v>
      </c>
      <c r="C55" s="360">
        <f>IF(($A55+C$6)&gt;約款料金!$C$9,ROUNDDOWN(($A55+C$6)*(約款料金!$D$17+$J$4)+約款料金!$D$16,0),IF(($A55+C$6)&gt;約款料金!$B$9,ROUNDDOWN(($A55+C$6)*(約款料金!$C$17+$J$4)+約款料金!$C$16,0),ROUNDDOWN(($A55+C$6)*(約款料金!$B$17+$J$4)+約款料金!$B$16,0)))</f>
        <v>24365</v>
      </c>
      <c r="D55" s="360">
        <f>IF(($A55+D$6)&gt;約款料金!$C$9,ROUNDDOWN(($A55+D$6)*(約款料金!$D$17+$J$4)+約款料金!$D$16,0),IF(($A55+D$6)&gt;約款料金!$B$9,ROUNDDOWN(($A55+D$6)*(約款料金!$C$17+$J$4)+約款料金!$C$16,0),ROUNDDOWN(($A55+D$6)*(約款料金!$B$17+$J$4)+約款料金!$B$16,0)))</f>
        <v>24410</v>
      </c>
      <c r="E55" s="360">
        <f>IF(($A55+E$6)&gt;約款料金!$C$9,ROUNDDOWN(($A55+E$6)*(約款料金!$D$17+$J$4)+約款料金!$D$16,0),IF(($A55+E$6)&gt;約款料金!$B$9,ROUNDDOWN(($A55+E$6)*(約款料金!$C$17+$J$4)+約款料金!$C$16,0),ROUNDDOWN(($A55+E$6)*(約款料金!$B$17+$J$4)+約款料金!$B$16,0)))</f>
        <v>24455</v>
      </c>
      <c r="F55" s="360">
        <f>IF(($A55+F$6)&gt;約款料金!$C$9,ROUNDDOWN(($A55+F$6)*(約款料金!$D$17+$J$4)+約款料金!$D$16,0),IF(($A55+F$6)&gt;約款料金!$B$9,ROUNDDOWN(($A55+F$6)*(約款料金!$C$17+$J$4)+約款料金!$C$16,0),ROUNDDOWN(($A55+F$6)*(約款料金!$B$17+$J$4)+約款料金!$B$16,0)))</f>
        <v>24500</v>
      </c>
      <c r="G55" s="360">
        <f>IF(($A55+G$6)&gt;約款料金!$C$9,ROUNDDOWN(($A55+G$6)*(約款料金!$D$17+$J$4)+約款料金!$D$16,0),IF(($A55+G$6)&gt;約款料金!$B$9,ROUNDDOWN(($A55+G$6)*(約款料金!$C$17+$J$4)+約款料金!$C$16,0),ROUNDDOWN(($A55+G$6)*(約款料金!$B$17+$J$4)+約款料金!$B$16,0)))</f>
        <v>24545</v>
      </c>
      <c r="H55" s="360">
        <f>IF(($A55+H$6)&gt;約款料金!$C$9,ROUNDDOWN(($A55+H$6)*(約款料金!$D$17+$J$4)+約款料金!$D$16,0),IF(($A55+H$6)&gt;約款料金!$B$9,ROUNDDOWN(($A55+H$6)*(約款料金!$C$17+$J$4)+約款料金!$C$16,0),ROUNDDOWN(($A55+H$6)*(約款料金!$B$17+$J$4)+約款料金!$B$16,0)))</f>
        <v>24590</v>
      </c>
      <c r="I55" s="360">
        <f>IF(($A55+I$6)&gt;約款料金!$C$9,ROUNDDOWN(($A55+I$6)*(約款料金!$D$17+$J$4)+約款料金!$D$16,0),IF(($A55+I$6)&gt;約款料金!$B$9,ROUNDDOWN(($A55+I$6)*(約款料金!$C$17+$J$4)+約款料金!$C$16,0),ROUNDDOWN(($A55+I$6)*(約款料金!$B$17+$J$4)+約款料金!$B$16,0)))</f>
        <v>24635</v>
      </c>
      <c r="J55" s="360">
        <f>IF(($A55+J$6)&gt;約款料金!$C$9,ROUNDDOWN(($A55+J$6)*(約款料金!$D$17+$J$4)+約款料金!$D$16,0),IF(($A55+J$6)&gt;約款料金!$B$9,ROUNDDOWN(($A55+J$6)*(約款料金!$C$17+$J$4)+約款料金!$C$16,0),ROUNDDOWN(($A55+J$6)*(約款料金!$B$17+$J$4)+約款料金!$B$16,0)))</f>
        <v>24679</v>
      </c>
      <c r="K55" s="366">
        <f>IF(($A55+K$6)&gt;約款料金!$C$9,ROUNDDOWN(($A55+K$6)*(約款料金!$D$17+$J$4)+約款料金!$D$16,0),IF(($A55+K$6)&gt;約款料金!$B$9,ROUNDDOWN(($A55+K$6)*(約款料金!$C$17+$J$4)+約款料金!$C$16,0),ROUNDDOWN(($A55+K$6)*(約款料金!$B$17+$J$4)+約款料金!$B$16,0)))</f>
        <v>24724</v>
      </c>
    </row>
    <row r="56" spans="1:11" ht="14.5" thickBot="1">
      <c r="A56" s="384">
        <v>49</v>
      </c>
      <c r="B56" s="361">
        <f>IF(($A56+B$6)&gt;約款料金!$C$9,ROUNDDOWN(($A56+B$6)*(約款料金!$D$17+$J$4)+約款料金!$D$16,0),IF(($A56+B$6)&gt;約款料金!$B$9,ROUNDDOWN(($A56+B$6)*(約款料金!$C$17+$J$4)+約款料金!$C$16,0),ROUNDDOWN(($A56+B$6)*(約款料金!$B$17+$J$4)+約款料金!$B$16,0)))</f>
        <v>24769</v>
      </c>
      <c r="C56" s="362">
        <f>IF(($A56+C$6)&gt;約款料金!$C$9,ROUNDDOWN(($A56+C$6)*(約款料金!$D$17+$J$4)+約款料金!$D$16,0),IF(($A56+C$6)&gt;約款料金!$B$9,ROUNDDOWN(($A56+C$6)*(約款料金!$C$17+$J$4)+約款料金!$C$16,0),ROUNDDOWN(($A56+C$6)*(約款料金!$B$17+$J$4)+約款料金!$B$16,0)))</f>
        <v>24814</v>
      </c>
      <c r="D56" s="362">
        <f>IF(($A56+D$6)&gt;約款料金!$C$9,ROUNDDOWN(($A56+D$6)*(約款料金!$D$17+$J$4)+約款料金!$D$16,0),IF(($A56+D$6)&gt;約款料金!$B$9,ROUNDDOWN(($A56+D$6)*(約款料金!$C$17+$J$4)+約款料金!$C$16,0),ROUNDDOWN(($A56+D$6)*(約款料金!$B$17+$J$4)+約款料金!$B$16,0)))</f>
        <v>24859</v>
      </c>
      <c r="E56" s="362">
        <f>IF(($A56+E$6)&gt;約款料金!$C$9,ROUNDDOWN(($A56+E$6)*(約款料金!$D$17+$J$4)+約款料金!$D$16,0),IF(($A56+E$6)&gt;約款料金!$B$9,ROUNDDOWN(($A56+E$6)*(約款料金!$C$17+$J$4)+約款料金!$C$16,0),ROUNDDOWN(($A56+E$6)*(約款料金!$B$17+$J$4)+約款料金!$B$16,0)))</f>
        <v>24904</v>
      </c>
      <c r="F56" s="362">
        <f>IF(($A56+F$6)&gt;約款料金!$C$9,ROUNDDOWN(($A56+F$6)*(約款料金!$D$17+$J$4)+約款料金!$D$16,0),IF(($A56+F$6)&gt;約款料金!$B$9,ROUNDDOWN(($A56+F$6)*(約款料金!$C$17+$J$4)+約款料金!$C$16,0),ROUNDDOWN(($A56+F$6)*(約款料金!$B$17+$J$4)+約款料金!$B$16,0)))</f>
        <v>24949</v>
      </c>
      <c r="G56" s="362">
        <f>IF(($A56+G$6)&gt;約款料金!$C$9,ROUNDDOWN(($A56+G$6)*(約款料金!$D$17+$J$4)+約款料金!$D$16,0),IF(($A56+G$6)&gt;約款料金!$B$9,ROUNDDOWN(($A56+G$6)*(約款料金!$C$17+$J$4)+約款料金!$C$16,0),ROUNDDOWN(($A56+G$6)*(約款料金!$B$17+$J$4)+約款料金!$B$16,0)))</f>
        <v>24994</v>
      </c>
      <c r="H56" s="362">
        <f>IF(($A56+H$6)&gt;約款料金!$C$9,ROUNDDOWN(($A56+H$6)*(約款料金!$D$17+$J$4)+約款料金!$D$16,0),IF(($A56+H$6)&gt;約款料金!$B$9,ROUNDDOWN(($A56+H$6)*(約款料金!$C$17+$J$4)+約款料金!$C$16,0),ROUNDDOWN(($A56+H$6)*(約款料金!$B$17+$J$4)+約款料金!$B$16,0)))</f>
        <v>25039</v>
      </c>
      <c r="I56" s="362">
        <f>IF(($A56+I$6)&gt;約款料金!$C$9,ROUNDDOWN(($A56+I$6)*(約款料金!$D$17+$J$4)+約款料金!$D$16,0),IF(($A56+I$6)&gt;約款料金!$B$9,ROUNDDOWN(($A56+I$6)*(約款料金!$C$17+$J$4)+約款料金!$C$16,0),ROUNDDOWN(($A56+I$6)*(約款料金!$B$17+$J$4)+約款料金!$B$16,0)))</f>
        <v>25084</v>
      </c>
      <c r="J56" s="362">
        <f>IF(($A56+J$6)&gt;約款料金!$C$9,ROUNDDOWN(($A56+J$6)*(約款料金!$D$17+$J$4)+約款料金!$D$16,0),IF(($A56+J$6)&gt;約款料金!$B$9,ROUNDDOWN(($A56+J$6)*(約款料金!$C$17+$J$4)+約款料金!$C$16,0),ROUNDDOWN(($A56+J$6)*(約款料金!$B$17+$J$4)+約款料金!$B$16,0)))</f>
        <v>25129</v>
      </c>
      <c r="K56" s="367">
        <f>IF(($A56+K$6)&gt;約款料金!$C$9,ROUNDDOWN(($A56+K$6)*(約款料金!$D$17+$J$4)+約款料金!$D$16,0),IF(($A56+K$6)&gt;約款料金!$B$9,ROUNDDOWN(($A56+K$6)*(約款料金!$C$17+$J$4)+約款料金!$C$16,0),ROUNDDOWN(($A56+K$6)*(約款料金!$B$17+$J$4)+約款料金!$B$16,0)))</f>
        <v>25173</v>
      </c>
    </row>
    <row r="57" spans="1:11">
      <c r="A57" s="377"/>
      <c r="B57" s="363"/>
      <c r="C57" s="363"/>
      <c r="D57" s="363"/>
      <c r="E57" s="363"/>
      <c r="F57" s="363"/>
      <c r="G57" s="363"/>
      <c r="H57" s="363"/>
      <c r="I57" s="363"/>
      <c r="J57" s="363"/>
      <c r="K57" s="363"/>
    </row>
    <row r="58" spans="1:11">
      <c r="A58" s="377"/>
      <c r="B58" s="363"/>
      <c r="C58" s="363"/>
      <c r="D58" s="363"/>
      <c r="E58" s="363"/>
      <c r="F58" s="363"/>
      <c r="G58" s="363"/>
      <c r="H58" s="363"/>
      <c r="I58" s="363"/>
      <c r="J58" s="363"/>
      <c r="K58" s="363"/>
    </row>
    <row r="59" spans="1:11">
      <c r="A59" s="377"/>
      <c r="B59" s="363"/>
      <c r="C59" s="363"/>
      <c r="D59" s="363"/>
      <c r="E59" s="363"/>
      <c r="F59" s="363"/>
      <c r="G59" s="363"/>
      <c r="H59" s="363"/>
      <c r="I59" s="363"/>
      <c r="J59" s="363"/>
      <c r="K59" s="363"/>
    </row>
    <row r="60" spans="1:11">
      <c r="A60" s="432" t="str">
        <f>A4</f>
        <v>コミュニティー団地</v>
      </c>
      <c r="B60" s="363"/>
      <c r="C60" s="363"/>
      <c r="D60" s="363"/>
      <c r="E60" s="363"/>
      <c r="F60" s="363"/>
      <c r="G60" s="363"/>
      <c r="H60" s="363"/>
      <c r="I60" s="363"/>
      <c r="J60" s="363"/>
      <c r="K60" s="363"/>
    </row>
    <row r="61" spans="1:11" ht="14.5" thickBot="1">
      <c r="A61" s="364"/>
      <c r="B61" s="149"/>
      <c r="C61" s="149"/>
      <c r="D61" s="149"/>
      <c r="E61" s="149"/>
      <c r="F61" s="149"/>
      <c r="G61" s="149"/>
      <c r="H61" s="149"/>
      <c r="I61" s="149"/>
      <c r="J61" s="357"/>
      <c r="K61" s="148"/>
    </row>
    <row r="62" spans="1:11" ht="14.5" thickBot="1">
      <c r="A62" s="385"/>
      <c r="B62" s="358">
        <v>0</v>
      </c>
      <c r="C62" s="358">
        <v>0.1</v>
      </c>
      <c r="D62" s="358">
        <v>0.2</v>
      </c>
      <c r="E62" s="358">
        <v>0.3</v>
      </c>
      <c r="F62" s="358">
        <v>0.4</v>
      </c>
      <c r="G62" s="358">
        <v>0.5</v>
      </c>
      <c r="H62" s="358">
        <v>0.6</v>
      </c>
      <c r="I62" s="358">
        <v>0.7</v>
      </c>
      <c r="J62" s="358">
        <v>0.8</v>
      </c>
      <c r="K62" s="359">
        <v>0.9</v>
      </c>
    </row>
    <row r="63" spans="1:11">
      <c r="A63" s="386">
        <v>50</v>
      </c>
      <c r="B63" s="445">
        <f>IF(($A63+B$6)&gt;約款料金!$C$9,ROUNDDOWN(($A63+B$6)*(約款料金!$D$17+$J$4)+約款料金!$D$16,0),IF(($A63+B$6)&gt;約款料金!$B$9,ROUNDDOWN(($A63+B$6)*(約款料金!$C$17+$J$4)+約款料金!$C$16,0),ROUNDDOWN(($A63+B$6)*(約款料金!$B$17+$J$4)+約款料金!$B$16,0)))</f>
        <v>25218</v>
      </c>
      <c r="C63" s="446">
        <f>IF(($A63+C$6)&gt;約款料金!$C$9,ROUNDDOWN(($A63+C$6)*(約款料金!$D$17+$J$4)+約款料金!$D$16,0),IF(($A63+C$6)&gt;約款料金!$B$9,ROUNDDOWN(($A63+C$6)*(約款料金!$C$17+$J$4)+約款料金!$C$16,0),ROUNDDOWN(($A63+C$6)*(約款料金!$B$17+$J$4)+約款料金!$B$16,0)))</f>
        <v>25263</v>
      </c>
      <c r="D63" s="446">
        <f>IF(($A63+D$6)&gt;約款料金!$C$9,ROUNDDOWN(($A63+D$6)*(約款料金!$D$17+$J$4)+約款料金!$D$16,0),IF(($A63+D$6)&gt;約款料金!$B$9,ROUNDDOWN(($A63+D$6)*(約款料金!$C$17+$J$4)+約款料金!$C$16,0),ROUNDDOWN(($A63+D$6)*(約款料金!$B$17+$J$4)+約款料金!$B$16,0)))</f>
        <v>25308</v>
      </c>
      <c r="E63" s="446">
        <f>IF(($A63+E$6)&gt;約款料金!$C$9,ROUNDDOWN(($A63+E$6)*(約款料金!$D$17+$J$4)+約款料金!$D$16,0),IF(($A63+E$6)&gt;約款料金!$B$9,ROUNDDOWN(($A63+E$6)*(約款料金!$C$17+$J$4)+約款料金!$C$16,0),ROUNDDOWN(($A63+E$6)*(約款料金!$B$17+$J$4)+約款料金!$B$16,0)))</f>
        <v>25353</v>
      </c>
      <c r="F63" s="446">
        <f>IF(($A63+F$6)&gt;約款料金!$C$9,ROUNDDOWN(($A63+F$6)*(約款料金!$D$17+$J$4)+約款料金!$D$16,0),IF(($A63+F$6)&gt;約款料金!$B$9,ROUNDDOWN(($A63+F$6)*(約款料金!$C$17+$J$4)+約款料金!$C$16,0),ROUNDDOWN(($A63+F$6)*(約款料金!$B$17+$J$4)+約款料金!$B$16,0)))</f>
        <v>25398</v>
      </c>
      <c r="G63" s="446">
        <f>IF(($A63+G$6)&gt;約款料金!$C$9,ROUNDDOWN(($A63+G$6)*(約款料金!$D$17+$J$4)+約款料金!$D$16,0),IF(($A63+G$6)&gt;約款料金!$B$9,ROUNDDOWN(($A63+G$6)*(約款料金!$C$17+$J$4)+約款料金!$C$16,0),ROUNDDOWN(($A63+G$6)*(約款料金!$B$17+$J$4)+約款料金!$B$16,0)))</f>
        <v>25443</v>
      </c>
      <c r="H63" s="446">
        <f>IF(($A63+H$6)&gt;約款料金!$C$9,ROUNDDOWN(($A63+H$6)*(約款料金!$D$17+$J$4)+約款料金!$D$16,0),IF(($A63+H$6)&gt;約款料金!$B$9,ROUNDDOWN(($A63+H$6)*(約款料金!$C$17+$J$4)+約款料金!$C$16,0),ROUNDDOWN(($A63+H$6)*(約款料金!$B$17+$J$4)+約款料金!$B$16,0)))</f>
        <v>25488</v>
      </c>
      <c r="I63" s="446">
        <f>IF(($A63+I$6)&gt;約款料金!$C$9,ROUNDDOWN(($A63+I$6)*(約款料金!$D$17+$J$4)+約款料金!$D$16,0),IF(($A63+I$6)&gt;約款料金!$B$9,ROUNDDOWN(($A63+I$6)*(約款料金!$C$17+$J$4)+約款料金!$C$16,0),ROUNDDOWN(($A63+I$6)*(約款料金!$B$17+$J$4)+約款料金!$B$16,0)))</f>
        <v>25533</v>
      </c>
      <c r="J63" s="446">
        <f>IF(($A63+J$6)&gt;約款料金!$C$9,ROUNDDOWN(($A63+J$6)*(約款料金!$D$17+$J$4)+約款料金!$D$16,0),IF(($A63+J$6)&gt;約款料金!$B$9,ROUNDDOWN(($A63+J$6)*(約款料金!$C$17+$J$4)+約款料金!$C$16,0),ROUNDDOWN(($A63+J$6)*(約款料金!$B$17+$J$4)+約款料金!$B$16,0)))</f>
        <v>25578</v>
      </c>
      <c r="K63" s="447">
        <f>IF(($A63+K$6)&gt;約款料金!$C$9,ROUNDDOWN(($A63+K$6)*(約款料金!$D$17+$J$4)+約款料金!$D$16,0),IF(($A63+K$6)&gt;約款料金!$B$9,ROUNDDOWN(($A63+K$6)*(約款料金!$C$17+$J$4)+約款料金!$C$16,0),ROUNDDOWN(($A63+K$6)*(約款料金!$B$17+$J$4)+約款料金!$B$16,0)))</f>
        <v>25622</v>
      </c>
    </row>
    <row r="64" spans="1:11">
      <c r="A64" s="387">
        <v>51</v>
      </c>
      <c r="B64" s="365">
        <f>IF(($A64+B$6)&gt;約款料金!$C$9,ROUNDDOWN(($A64+B$6)*(約款料金!$D$17+$J$4)+約款料金!$D$16,0),IF(($A64+B$6)&gt;約款料金!$B$9,ROUNDDOWN(($A64+B$6)*(約款料金!$C$17+$J$4)+約款料金!$C$16,0),ROUNDDOWN(($A64+B$6)*(約款料金!$B$17+$J$4)+約款料金!$B$16,0)))</f>
        <v>25667</v>
      </c>
      <c r="C64" s="360">
        <f>IF(($A64+C$6)&gt;約款料金!$C$9,ROUNDDOWN(($A64+C$6)*(約款料金!$D$17+$J$4)+約款料金!$D$16,0),IF(($A64+C$6)&gt;約款料金!$B$9,ROUNDDOWN(($A64+C$6)*(約款料金!$C$17+$J$4)+約款料金!$C$16,0),ROUNDDOWN(($A64+C$6)*(約款料金!$B$17+$J$4)+約款料金!$B$16,0)))</f>
        <v>25712</v>
      </c>
      <c r="D64" s="360">
        <f>IF(($A64+D$6)&gt;約款料金!$C$9,ROUNDDOWN(($A64+D$6)*(約款料金!$D$17+$J$4)+約款料金!$D$16,0),IF(($A64+D$6)&gt;約款料金!$B$9,ROUNDDOWN(($A64+D$6)*(約款料金!$C$17+$J$4)+約款料金!$C$16,0),ROUNDDOWN(($A64+D$6)*(約款料金!$B$17+$J$4)+約款料金!$B$16,0)))</f>
        <v>25757</v>
      </c>
      <c r="E64" s="360">
        <f>IF(($A64+E$6)&gt;約款料金!$C$9,ROUNDDOWN(($A64+E$6)*(約款料金!$D$17+$J$4)+約款料金!$D$16,0),IF(($A64+E$6)&gt;約款料金!$B$9,ROUNDDOWN(($A64+E$6)*(約款料金!$C$17+$J$4)+約款料金!$C$16,0),ROUNDDOWN(($A64+E$6)*(約款料金!$B$17+$J$4)+約款料金!$B$16,0)))</f>
        <v>25802</v>
      </c>
      <c r="F64" s="360">
        <f>IF(($A64+F$6)&gt;約款料金!$C$9,ROUNDDOWN(($A64+F$6)*(約款料金!$D$17+$J$4)+約款料金!$D$16,0),IF(($A64+F$6)&gt;約款料金!$B$9,ROUNDDOWN(($A64+F$6)*(約款料金!$C$17+$J$4)+約款料金!$C$16,0),ROUNDDOWN(($A64+F$6)*(約款料金!$B$17+$J$4)+約款料金!$B$16,0)))</f>
        <v>25847</v>
      </c>
      <c r="G64" s="360">
        <f>IF(($A64+G$6)&gt;約款料金!$C$9,ROUNDDOWN(($A64+G$6)*(約款料金!$D$17+$J$4)+約款料金!$D$16,0),IF(($A64+G$6)&gt;約款料金!$B$9,ROUNDDOWN(($A64+G$6)*(約款料金!$C$17+$J$4)+約款料金!$C$16,0),ROUNDDOWN(($A64+G$6)*(約款料金!$B$17+$J$4)+約款料金!$B$16,0)))</f>
        <v>25892</v>
      </c>
      <c r="H64" s="360">
        <f>IF(($A64+H$6)&gt;約款料金!$C$9,ROUNDDOWN(($A64+H$6)*(約款料金!$D$17+$J$4)+約款料金!$D$16,0),IF(($A64+H$6)&gt;約款料金!$B$9,ROUNDDOWN(($A64+H$6)*(約款料金!$C$17+$J$4)+約款料金!$C$16,0),ROUNDDOWN(($A64+H$6)*(約款料金!$B$17+$J$4)+約款料金!$B$16,0)))</f>
        <v>25937</v>
      </c>
      <c r="I64" s="360">
        <f>IF(($A64+I$6)&gt;約款料金!$C$9,ROUNDDOWN(($A64+I$6)*(約款料金!$D$17+$J$4)+約款料金!$D$16,0),IF(($A64+I$6)&gt;約款料金!$B$9,ROUNDDOWN(($A64+I$6)*(約款料金!$C$17+$J$4)+約款料金!$C$16,0),ROUNDDOWN(($A64+I$6)*(約款料金!$B$17+$J$4)+約款料金!$B$16,0)))</f>
        <v>25982</v>
      </c>
      <c r="J64" s="360">
        <f>IF(($A64+J$6)&gt;約款料金!$C$9,ROUNDDOWN(($A64+J$6)*(約款料金!$D$17+$J$4)+約款料金!$D$16,0),IF(($A64+J$6)&gt;約款料金!$B$9,ROUNDDOWN(($A64+J$6)*(約款料金!$C$17+$J$4)+約款料金!$C$16,0),ROUNDDOWN(($A64+J$6)*(約款料金!$B$17+$J$4)+約款料金!$B$16,0)))</f>
        <v>26027</v>
      </c>
      <c r="K64" s="366">
        <f>IF(($A64+K$6)&gt;約款料金!$C$9,ROUNDDOWN(($A64+K$6)*(約款料金!$D$17+$J$4)+約款料金!$D$16,0),IF(($A64+K$6)&gt;約款料金!$B$9,ROUNDDOWN(($A64+K$6)*(約款料金!$C$17+$J$4)+約款料金!$C$16,0),ROUNDDOWN(($A64+K$6)*(約款料金!$B$17+$J$4)+約款料金!$B$16,0)))</f>
        <v>26071</v>
      </c>
    </row>
    <row r="65" spans="1:11">
      <c r="A65" s="380">
        <v>52</v>
      </c>
      <c r="B65" s="365">
        <f>IF(($A65+B$6)&gt;約款料金!$C$9,ROUNDDOWN(($A65+B$6)*(約款料金!$D$17+$J$4)+約款料金!$D$16,0),IF(($A65+B$6)&gt;約款料金!$B$9,ROUNDDOWN(($A65+B$6)*(約款料金!$C$17+$J$4)+約款料金!$C$16,0),ROUNDDOWN(($A65+B$6)*(約款料金!$B$17+$J$4)+約款料金!$B$16,0)))</f>
        <v>26116</v>
      </c>
      <c r="C65" s="360">
        <f>IF(($A65+C$6)&gt;約款料金!$C$9,ROUNDDOWN(($A65+C$6)*(約款料金!$D$17+$J$4)+約款料金!$D$16,0),IF(($A65+C$6)&gt;約款料金!$B$9,ROUNDDOWN(($A65+C$6)*(約款料金!$C$17+$J$4)+約款料金!$C$16,0),ROUNDDOWN(($A65+C$6)*(約款料金!$B$17+$J$4)+約款料金!$B$16,0)))</f>
        <v>26161</v>
      </c>
      <c r="D65" s="360">
        <f>IF(($A65+D$6)&gt;約款料金!$C$9,ROUNDDOWN(($A65+D$6)*(約款料金!$D$17+$J$4)+約款料金!$D$16,0),IF(($A65+D$6)&gt;約款料金!$B$9,ROUNDDOWN(($A65+D$6)*(約款料金!$C$17+$J$4)+約款料金!$C$16,0),ROUNDDOWN(($A65+D$6)*(約款料金!$B$17+$J$4)+約款料金!$B$16,0)))</f>
        <v>26206</v>
      </c>
      <c r="E65" s="360">
        <f>IF(($A65+E$6)&gt;約款料金!$C$9,ROUNDDOWN(($A65+E$6)*(約款料金!$D$17+$J$4)+約款料金!$D$16,0),IF(($A65+E$6)&gt;約款料金!$B$9,ROUNDDOWN(($A65+E$6)*(約款料金!$C$17+$J$4)+約款料金!$C$16,0),ROUNDDOWN(($A65+E$6)*(約款料金!$B$17+$J$4)+約款料金!$B$16,0)))</f>
        <v>26251</v>
      </c>
      <c r="F65" s="360">
        <f>IF(($A65+F$6)&gt;約款料金!$C$9,ROUNDDOWN(($A65+F$6)*(約款料金!$D$17+$J$4)+約款料金!$D$16,0),IF(($A65+F$6)&gt;約款料金!$B$9,ROUNDDOWN(($A65+F$6)*(約款料金!$C$17+$J$4)+約款料金!$C$16,0),ROUNDDOWN(($A65+F$6)*(約款料金!$B$17+$J$4)+約款料金!$B$16,0)))</f>
        <v>26296</v>
      </c>
      <c r="G65" s="360">
        <f>IF(($A65+G$6)&gt;約款料金!$C$9,ROUNDDOWN(($A65+G$6)*(約款料金!$D$17+$J$4)+約款料金!$D$16,0),IF(($A65+G$6)&gt;約款料金!$B$9,ROUNDDOWN(($A65+G$6)*(約款料金!$C$17+$J$4)+約款料金!$C$16,0),ROUNDDOWN(($A65+G$6)*(約款料金!$B$17+$J$4)+約款料金!$B$16,0)))</f>
        <v>26341</v>
      </c>
      <c r="H65" s="360">
        <f>IF(($A65+H$6)&gt;約款料金!$C$9,ROUNDDOWN(($A65+H$6)*(約款料金!$D$17+$J$4)+約款料金!$D$16,0),IF(($A65+H$6)&gt;約款料金!$B$9,ROUNDDOWN(($A65+H$6)*(約款料金!$C$17+$J$4)+約款料金!$C$16,0),ROUNDDOWN(($A65+H$6)*(約款料金!$B$17+$J$4)+約款料金!$B$16,0)))</f>
        <v>26386</v>
      </c>
      <c r="I65" s="360">
        <f>IF(($A65+I$6)&gt;約款料金!$C$9,ROUNDDOWN(($A65+I$6)*(約款料金!$D$17+$J$4)+約款料金!$D$16,0),IF(($A65+I$6)&gt;約款料金!$B$9,ROUNDDOWN(($A65+I$6)*(約款料金!$C$17+$J$4)+約款料金!$C$16,0),ROUNDDOWN(($A65+I$6)*(約款料金!$B$17+$J$4)+約款料金!$B$16,0)))</f>
        <v>26431</v>
      </c>
      <c r="J65" s="360">
        <f>IF(($A65+J$6)&gt;約款料金!$C$9,ROUNDDOWN(($A65+J$6)*(約款料金!$D$17+$J$4)+約款料金!$D$16,0),IF(($A65+J$6)&gt;約款料金!$B$9,ROUNDDOWN(($A65+J$6)*(約款料金!$C$17+$J$4)+約款料金!$C$16,0),ROUNDDOWN(($A65+J$6)*(約款料金!$B$17+$J$4)+約款料金!$B$16,0)))</f>
        <v>26476</v>
      </c>
      <c r="K65" s="366">
        <f>IF(($A65+K$6)&gt;約款料金!$C$9,ROUNDDOWN(($A65+K$6)*(約款料金!$D$17+$J$4)+約款料金!$D$16,0),IF(($A65+K$6)&gt;約款料金!$B$9,ROUNDDOWN(($A65+K$6)*(約款料金!$C$17+$J$4)+約款料金!$C$16,0),ROUNDDOWN(($A65+K$6)*(約款料金!$B$17+$J$4)+約款料金!$B$16,0)))</f>
        <v>26520</v>
      </c>
    </row>
    <row r="66" spans="1:11">
      <c r="A66" s="380">
        <v>53</v>
      </c>
      <c r="B66" s="365">
        <f>IF(($A66+B$6)&gt;約款料金!$C$9,ROUNDDOWN(($A66+B$6)*(約款料金!$D$17+$J$4)+約款料金!$D$16,0),IF(($A66+B$6)&gt;約款料金!$B$9,ROUNDDOWN(($A66+B$6)*(約款料金!$C$17+$J$4)+約款料金!$C$16,0),ROUNDDOWN(($A66+B$6)*(約款料金!$B$17+$J$4)+約款料金!$B$16,0)))</f>
        <v>26565</v>
      </c>
      <c r="C66" s="360">
        <f>IF(($A66+C$6)&gt;約款料金!$C$9,ROUNDDOWN(($A66+C$6)*(約款料金!$D$17+$J$4)+約款料金!$D$16,0),IF(($A66+C$6)&gt;約款料金!$B$9,ROUNDDOWN(($A66+C$6)*(約款料金!$C$17+$J$4)+約款料金!$C$16,0),ROUNDDOWN(($A66+C$6)*(約款料金!$B$17+$J$4)+約款料金!$B$16,0)))</f>
        <v>26610</v>
      </c>
      <c r="D66" s="360">
        <f>IF(($A66+D$6)&gt;約款料金!$C$9,ROUNDDOWN(($A66+D$6)*(約款料金!$D$17+$J$4)+約款料金!$D$16,0),IF(($A66+D$6)&gt;約款料金!$B$9,ROUNDDOWN(($A66+D$6)*(約款料金!$C$17+$J$4)+約款料金!$C$16,0),ROUNDDOWN(($A66+D$6)*(約款料金!$B$17+$J$4)+約款料金!$B$16,0)))</f>
        <v>26655</v>
      </c>
      <c r="E66" s="360">
        <f>IF(($A66+E$6)&gt;約款料金!$C$9,ROUNDDOWN(($A66+E$6)*(約款料金!$D$17+$J$4)+約款料金!$D$16,0),IF(($A66+E$6)&gt;約款料金!$B$9,ROUNDDOWN(($A66+E$6)*(約款料金!$C$17+$J$4)+約款料金!$C$16,0),ROUNDDOWN(($A66+E$6)*(約款料金!$B$17+$J$4)+約款料金!$B$16,0)))</f>
        <v>26700</v>
      </c>
      <c r="F66" s="360">
        <f>IF(($A66+F$6)&gt;約款料金!$C$9,ROUNDDOWN(($A66+F$6)*(約款料金!$D$17+$J$4)+約款料金!$D$16,0),IF(($A66+F$6)&gt;約款料金!$B$9,ROUNDDOWN(($A66+F$6)*(約款料金!$C$17+$J$4)+約款料金!$C$16,0),ROUNDDOWN(($A66+F$6)*(約款料金!$B$17+$J$4)+約款料金!$B$16,0)))</f>
        <v>26745</v>
      </c>
      <c r="G66" s="360">
        <f>IF(($A66+G$6)&gt;約款料金!$C$9,ROUNDDOWN(($A66+G$6)*(約款料金!$D$17+$J$4)+約款料金!$D$16,0),IF(($A66+G$6)&gt;約款料金!$B$9,ROUNDDOWN(($A66+G$6)*(約款料金!$C$17+$J$4)+約款料金!$C$16,0),ROUNDDOWN(($A66+G$6)*(約款料金!$B$17+$J$4)+約款料金!$B$16,0)))</f>
        <v>26790</v>
      </c>
      <c r="H66" s="360">
        <f>IF(($A66+H$6)&gt;約款料金!$C$9,ROUNDDOWN(($A66+H$6)*(約款料金!$D$17+$J$4)+約款料金!$D$16,0),IF(($A66+H$6)&gt;約款料金!$B$9,ROUNDDOWN(($A66+H$6)*(約款料金!$C$17+$J$4)+約款料金!$C$16,0),ROUNDDOWN(($A66+H$6)*(約款料金!$B$17+$J$4)+約款料金!$B$16,0)))</f>
        <v>26835</v>
      </c>
      <c r="I66" s="360">
        <f>IF(($A66+I$6)&gt;約款料金!$C$9,ROUNDDOWN(($A66+I$6)*(約款料金!$D$17+$J$4)+約款料金!$D$16,0),IF(($A66+I$6)&gt;約款料金!$B$9,ROUNDDOWN(($A66+I$6)*(約款料金!$C$17+$J$4)+約款料金!$C$16,0),ROUNDDOWN(($A66+I$6)*(約款料金!$B$17+$J$4)+約款料金!$B$16,0)))</f>
        <v>26880</v>
      </c>
      <c r="J66" s="360">
        <f>IF(($A66+J$6)&gt;約款料金!$C$9,ROUNDDOWN(($A66+J$6)*(約款料金!$D$17+$J$4)+約款料金!$D$16,0),IF(($A66+J$6)&gt;約款料金!$B$9,ROUNDDOWN(($A66+J$6)*(約款料金!$C$17+$J$4)+約款料金!$C$16,0),ROUNDDOWN(($A66+J$6)*(約款料金!$B$17+$J$4)+約款料金!$B$16,0)))</f>
        <v>26925</v>
      </c>
      <c r="K66" s="366">
        <f>IF(($A66+K$6)&gt;約款料金!$C$9,ROUNDDOWN(($A66+K$6)*(約款料金!$D$17+$J$4)+約款料金!$D$16,0),IF(($A66+K$6)&gt;約款料金!$B$9,ROUNDDOWN(($A66+K$6)*(約款料金!$C$17+$J$4)+約款料金!$C$16,0),ROUNDDOWN(($A66+K$6)*(約款料金!$B$17+$J$4)+約款料金!$B$16,0)))</f>
        <v>26969</v>
      </c>
    </row>
    <row r="67" spans="1:11">
      <c r="A67" s="380">
        <v>54</v>
      </c>
      <c r="B67" s="365">
        <f>IF(($A67+B$6)&gt;約款料金!$C$9,ROUNDDOWN(($A67+B$6)*(約款料金!$D$17+$J$4)+約款料金!$D$16,0),IF(($A67+B$6)&gt;約款料金!$B$9,ROUNDDOWN(($A67+B$6)*(約款料金!$C$17+$J$4)+約款料金!$C$16,0),ROUNDDOWN(($A67+B$6)*(約款料金!$B$17+$J$4)+約款料金!$B$16,0)))</f>
        <v>27014</v>
      </c>
      <c r="C67" s="360">
        <f>IF(($A67+C$6)&gt;約款料金!$C$9,ROUNDDOWN(($A67+C$6)*(約款料金!$D$17+$J$4)+約款料金!$D$16,0),IF(($A67+C$6)&gt;約款料金!$B$9,ROUNDDOWN(($A67+C$6)*(約款料金!$C$17+$J$4)+約款料金!$C$16,0),ROUNDDOWN(($A67+C$6)*(約款料金!$B$17+$J$4)+約款料金!$B$16,0)))</f>
        <v>27059</v>
      </c>
      <c r="D67" s="360">
        <f>IF(($A67+D$6)&gt;約款料金!$C$9,ROUNDDOWN(($A67+D$6)*(約款料金!$D$17+$J$4)+約款料金!$D$16,0),IF(($A67+D$6)&gt;約款料金!$B$9,ROUNDDOWN(($A67+D$6)*(約款料金!$C$17+$J$4)+約款料金!$C$16,0),ROUNDDOWN(($A67+D$6)*(約款料金!$B$17+$J$4)+約款料金!$B$16,0)))</f>
        <v>27104</v>
      </c>
      <c r="E67" s="360">
        <f>IF(($A67+E$6)&gt;約款料金!$C$9,ROUNDDOWN(($A67+E$6)*(約款料金!$D$17+$J$4)+約款料金!$D$16,0),IF(($A67+E$6)&gt;約款料金!$B$9,ROUNDDOWN(($A67+E$6)*(約款料金!$C$17+$J$4)+約款料金!$C$16,0),ROUNDDOWN(($A67+E$6)*(約款料金!$B$17+$J$4)+約款料金!$B$16,0)))</f>
        <v>27149</v>
      </c>
      <c r="F67" s="360">
        <f>IF(($A67+F$6)&gt;約款料金!$C$9,ROUNDDOWN(($A67+F$6)*(約款料金!$D$17+$J$4)+約款料金!$D$16,0),IF(($A67+F$6)&gt;約款料金!$B$9,ROUNDDOWN(($A67+F$6)*(約款料金!$C$17+$J$4)+約款料金!$C$16,0),ROUNDDOWN(($A67+F$6)*(約款料金!$B$17+$J$4)+約款料金!$B$16,0)))</f>
        <v>27194</v>
      </c>
      <c r="G67" s="360">
        <f>IF(($A67+G$6)&gt;約款料金!$C$9,ROUNDDOWN(($A67+G$6)*(約款料金!$D$17+$J$4)+約款料金!$D$16,0),IF(($A67+G$6)&gt;約款料金!$B$9,ROUNDDOWN(($A67+G$6)*(約款料金!$C$17+$J$4)+約款料金!$C$16,0),ROUNDDOWN(($A67+G$6)*(約款料金!$B$17+$J$4)+約款料金!$B$16,0)))</f>
        <v>27239</v>
      </c>
      <c r="H67" s="360">
        <f>IF(($A67+H$6)&gt;約款料金!$C$9,ROUNDDOWN(($A67+H$6)*(約款料金!$D$17+$J$4)+約款料金!$D$16,0),IF(($A67+H$6)&gt;約款料金!$B$9,ROUNDDOWN(($A67+H$6)*(約款料金!$C$17+$J$4)+約款料金!$C$16,0),ROUNDDOWN(($A67+H$6)*(約款料金!$B$17+$J$4)+約款料金!$B$16,0)))</f>
        <v>27284</v>
      </c>
      <c r="I67" s="360">
        <f>IF(($A67+I$6)&gt;約款料金!$C$9,ROUNDDOWN(($A67+I$6)*(約款料金!$D$17+$J$4)+約款料金!$D$16,0),IF(($A67+I$6)&gt;約款料金!$B$9,ROUNDDOWN(($A67+I$6)*(約款料金!$C$17+$J$4)+約款料金!$C$16,0),ROUNDDOWN(($A67+I$6)*(約款料金!$B$17+$J$4)+約款料金!$B$16,0)))</f>
        <v>27329</v>
      </c>
      <c r="J67" s="360">
        <f>IF(($A67+J$6)&gt;約款料金!$C$9,ROUNDDOWN(($A67+J$6)*(約款料金!$D$17+$J$4)+約款料金!$D$16,0),IF(($A67+J$6)&gt;約款料金!$B$9,ROUNDDOWN(($A67+J$6)*(約款料金!$C$17+$J$4)+約款料金!$C$16,0),ROUNDDOWN(($A67+J$6)*(約款料金!$B$17+$J$4)+約款料金!$B$16,0)))</f>
        <v>27374</v>
      </c>
      <c r="K67" s="366">
        <f>IF(($A67+K$6)&gt;約款料金!$C$9,ROUNDDOWN(($A67+K$6)*(約款料金!$D$17+$J$4)+約款料金!$D$16,0),IF(($A67+K$6)&gt;約款料金!$B$9,ROUNDDOWN(($A67+K$6)*(約款料金!$C$17+$J$4)+約款料金!$C$16,0),ROUNDDOWN(($A67+K$6)*(約款料金!$B$17+$J$4)+約款料金!$B$16,0)))</f>
        <v>27419</v>
      </c>
    </row>
    <row r="68" spans="1:11">
      <c r="A68" s="382">
        <v>55</v>
      </c>
      <c r="B68" s="371">
        <f>IF(($A68+B$6)&gt;約款料金!$C$9,ROUNDDOWN(($A68+B$6)*(約款料金!$D$17+$J$4)+約款料金!$D$16,0),IF(($A68+B$6)&gt;約款料金!$B$9,ROUNDDOWN(($A68+B$6)*(約款料金!$C$17+$J$4)+約款料金!$C$16,0),ROUNDDOWN(($A68+B$6)*(約款料金!$B$17+$J$4)+約款料金!$B$16,0)))</f>
        <v>27463</v>
      </c>
      <c r="C68" s="372">
        <f>IF(($A68+C$6)&gt;約款料金!$C$9,ROUNDDOWN(($A68+C$6)*(約款料金!$D$17+$J$4)+約款料金!$D$16,0),IF(($A68+C$6)&gt;約款料金!$B$9,ROUNDDOWN(($A68+C$6)*(約款料金!$C$17+$J$4)+約款料金!$C$16,0),ROUNDDOWN(($A68+C$6)*(約款料金!$B$17+$J$4)+約款料金!$B$16,0)))</f>
        <v>27508</v>
      </c>
      <c r="D68" s="372">
        <f>IF(($A68+D$6)&gt;約款料金!$C$9,ROUNDDOWN(($A68+D$6)*(約款料金!$D$17+$J$4)+約款料金!$D$16,0),IF(($A68+D$6)&gt;約款料金!$B$9,ROUNDDOWN(($A68+D$6)*(約款料金!$C$17+$J$4)+約款料金!$C$16,0),ROUNDDOWN(($A68+D$6)*(約款料金!$B$17+$J$4)+約款料金!$B$16,0)))</f>
        <v>27553</v>
      </c>
      <c r="E68" s="372">
        <f>IF(($A68+E$6)&gt;約款料金!$C$9,ROUNDDOWN(($A68+E$6)*(約款料金!$D$17+$J$4)+約款料金!$D$16,0),IF(($A68+E$6)&gt;約款料金!$B$9,ROUNDDOWN(($A68+E$6)*(約款料金!$C$17+$J$4)+約款料金!$C$16,0),ROUNDDOWN(($A68+E$6)*(約款料金!$B$17+$J$4)+約款料金!$B$16,0)))</f>
        <v>27598</v>
      </c>
      <c r="F68" s="372">
        <f>IF(($A68+F$6)&gt;約款料金!$C$9,ROUNDDOWN(($A68+F$6)*(約款料金!$D$17+$J$4)+約款料金!$D$16,0),IF(($A68+F$6)&gt;約款料金!$B$9,ROUNDDOWN(($A68+F$6)*(約款料金!$C$17+$J$4)+約款料金!$C$16,0),ROUNDDOWN(($A68+F$6)*(約款料金!$B$17+$J$4)+約款料金!$B$16,0)))</f>
        <v>27643</v>
      </c>
      <c r="G68" s="372">
        <f>IF(($A68+G$6)&gt;約款料金!$C$9,ROUNDDOWN(($A68+G$6)*(約款料金!$D$17+$J$4)+約款料金!$D$16,0),IF(($A68+G$6)&gt;約款料金!$B$9,ROUNDDOWN(($A68+G$6)*(約款料金!$C$17+$J$4)+約款料金!$C$16,0),ROUNDDOWN(($A68+G$6)*(約款料金!$B$17+$J$4)+約款料金!$B$16,0)))</f>
        <v>27688</v>
      </c>
      <c r="H68" s="372">
        <f>IF(($A68+H$6)&gt;約款料金!$C$9,ROUNDDOWN(($A68+H$6)*(約款料金!$D$17+$J$4)+約款料金!$D$16,0),IF(($A68+H$6)&gt;約款料金!$B$9,ROUNDDOWN(($A68+H$6)*(約款料金!$C$17+$J$4)+約款料金!$C$16,0),ROUNDDOWN(($A68+H$6)*(約款料金!$B$17+$J$4)+約款料金!$B$16,0)))</f>
        <v>27733</v>
      </c>
      <c r="I68" s="372">
        <f>IF(($A68+I$6)&gt;約款料金!$C$9,ROUNDDOWN(($A68+I$6)*(約款料金!$D$17+$J$4)+約款料金!$D$16,0),IF(($A68+I$6)&gt;約款料金!$B$9,ROUNDDOWN(($A68+I$6)*(約款料金!$C$17+$J$4)+約款料金!$C$16,0),ROUNDDOWN(($A68+I$6)*(約款料金!$B$17+$J$4)+約款料金!$B$16,0)))</f>
        <v>27778</v>
      </c>
      <c r="J68" s="372">
        <f>IF(($A68+J$6)&gt;約款料金!$C$9,ROUNDDOWN(($A68+J$6)*(約款料金!$D$17+$J$4)+約款料金!$D$16,0),IF(($A68+J$6)&gt;約款料金!$B$9,ROUNDDOWN(($A68+J$6)*(約款料金!$C$17+$J$4)+約款料金!$C$16,0),ROUNDDOWN(($A68+J$6)*(約款料金!$B$17+$J$4)+約款料金!$B$16,0)))</f>
        <v>27823</v>
      </c>
      <c r="K68" s="373">
        <f>IF(($A68+K$6)&gt;約款料金!$C$9,ROUNDDOWN(($A68+K$6)*(約款料金!$D$17+$J$4)+約款料金!$D$16,0),IF(($A68+K$6)&gt;約款料金!$B$9,ROUNDDOWN(($A68+K$6)*(約款料金!$C$17+$J$4)+約款料金!$C$16,0),ROUNDDOWN(($A68+K$6)*(約款料金!$B$17+$J$4)+約款料金!$B$16,0)))</f>
        <v>27868</v>
      </c>
    </row>
    <row r="69" spans="1:11">
      <c r="A69" s="379">
        <v>56</v>
      </c>
      <c r="B69" s="365">
        <f>IF(($A69+B$6)&gt;約款料金!$C$9,ROUNDDOWN(($A69+B$6)*(約款料金!$D$17+$J$4)+約款料金!$D$16,0),IF(($A69+B$6)&gt;約款料金!$B$9,ROUNDDOWN(($A69+B$6)*(約款料金!$C$17+$J$4)+約款料金!$C$16,0),ROUNDDOWN(($A69+B$6)*(約款料金!$B$17+$J$4)+約款料金!$B$16,0)))</f>
        <v>27912</v>
      </c>
      <c r="C69" s="360">
        <f>IF(($A69+C$6)&gt;約款料金!$C$9,ROUNDDOWN(($A69+C$6)*(約款料金!$D$17+$J$4)+約款料金!$D$16,0),IF(($A69+C$6)&gt;約款料金!$B$9,ROUNDDOWN(($A69+C$6)*(約款料金!$C$17+$J$4)+約款料金!$C$16,0),ROUNDDOWN(($A69+C$6)*(約款料金!$B$17+$J$4)+約款料金!$B$16,0)))</f>
        <v>27957</v>
      </c>
      <c r="D69" s="360">
        <f>IF(($A69+D$6)&gt;約款料金!$C$9,ROUNDDOWN(($A69+D$6)*(約款料金!$D$17+$J$4)+約款料金!$D$16,0),IF(($A69+D$6)&gt;約款料金!$B$9,ROUNDDOWN(($A69+D$6)*(約款料金!$C$17+$J$4)+約款料金!$C$16,0),ROUNDDOWN(($A69+D$6)*(約款料金!$B$17+$J$4)+約款料金!$B$16,0)))</f>
        <v>28002</v>
      </c>
      <c r="E69" s="360">
        <f>IF(($A69+E$6)&gt;約款料金!$C$9,ROUNDDOWN(($A69+E$6)*(約款料金!$D$17+$J$4)+約款料金!$D$16,0),IF(($A69+E$6)&gt;約款料金!$B$9,ROUNDDOWN(($A69+E$6)*(約款料金!$C$17+$J$4)+約款料金!$C$16,0),ROUNDDOWN(($A69+E$6)*(約款料金!$B$17+$J$4)+約款料金!$B$16,0)))</f>
        <v>28047</v>
      </c>
      <c r="F69" s="360">
        <f>IF(($A69+F$6)&gt;約款料金!$C$9,ROUNDDOWN(($A69+F$6)*(約款料金!$D$17+$J$4)+約款料金!$D$16,0),IF(($A69+F$6)&gt;約款料金!$B$9,ROUNDDOWN(($A69+F$6)*(約款料金!$C$17+$J$4)+約款料金!$C$16,0),ROUNDDOWN(($A69+F$6)*(約款料金!$B$17+$J$4)+約款料金!$B$16,0)))</f>
        <v>28092</v>
      </c>
      <c r="G69" s="360">
        <f>IF(($A69+G$6)&gt;約款料金!$C$9,ROUNDDOWN(($A69+G$6)*(約款料金!$D$17+$J$4)+約款料金!$D$16,0),IF(($A69+G$6)&gt;約款料金!$B$9,ROUNDDOWN(($A69+G$6)*(約款料金!$C$17+$J$4)+約款料金!$C$16,0),ROUNDDOWN(($A69+G$6)*(約款料金!$B$17+$J$4)+約款料金!$B$16,0)))</f>
        <v>28137</v>
      </c>
      <c r="H69" s="360">
        <f>IF(($A69+H$6)&gt;約款料金!$C$9,ROUNDDOWN(($A69+H$6)*(約款料金!$D$17+$J$4)+約款料金!$D$16,0),IF(($A69+H$6)&gt;約款料金!$B$9,ROUNDDOWN(($A69+H$6)*(約款料金!$C$17+$J$4)+約款料金!$C$16,0),ROUNDDOWN(($A69+H$6)*(約款料金!$B$17+$J$4)+約款料金!$B$16,0)))</f>
        <v>28182</v>
      </c>
      <c r="I69" s="360">
        <f>IF(($A69+I$6)&gt;約款料金!$C$9,ROUNDDOWN(($A69+I$6)*(約款料金!$D$17+$J$4)+約款料金!$D$16,0),IF(($A69+I$6)&gt;約款料金!$B$9,ROUNDDOWN(($A69+I$6)*(約款料金!$C$17+$J$4)+約款料金!$C$16,0),ROUNDDOWN(($A69+I$6)*(約款料金!$B$17+$J$4)+約款料金!$B$16,0)))</f>
        <v>28227</v>
      </c>
      <c r="J69" s="360">
        <f>IF(($A69+J$6)&gt;約款料金!$C$9,ROUNDDOWN(($A69+J$6)*(約款料金!$D$17+$J$4)+約款料金!$D$16,0),IF(($A69+J$6)&gt;約款料金!$B$9,ROUNDDOWN(($A69+J$6)*(約款料金!$C$17+$J$4)+約款料金!$C$16,0),ROUNDDOWN(($A69+J$6)*(約款料金!$B$17+$J$4)+約款料金!$B$16,0)))</f>
        <v>28272</v>
      </c>
      <c r="K69" s="366">
        <f>IF(($A69+K$6)&gt;約款料金!$C$9,ROUNDDOWN(($A69+K$6)*(約款料金!$D$17+$J$4)+約款料金!$D$16,0),IF(($A69+K$6)&gt;約款料金!$B$9,ROUNDDOWN(($A69+K$6)*(約款料金!$C$17+$J$4)+約款料金!$C$16,0),ROUNDDOWN(($A69+K$6)*(約款料金!$B$17+$J$4)+約款料金!$B$16,0)))</f>
        <v>28317</v>
      </c>
    </row>
    <row r="70" spans="1:11">
      <c r="A70" s="380">
        <v>57</v>
      </c>
      <c r="B70" s="365">
        <f>IF(($A70+B$6)&gt;約款料金!$C$9,ROUNDDOWN(($A70+B$6)*(約款料金!$D$17+$J$4)+約款料金!$D$16,0),IF(($A70+B$6)&gt;約款料金!$B$9,ROUNDDOWN(($A70+B$6)*(約款料金!$C$17+$J$4)+約款料金!$C$16,0),ROUNDDOWN(($A70+B$6)*(約款料金!$B$17+$J$4)+約款料金!$B$16,0)))</f>
        <v>28361</v>
      </c>
      <c r="C70" s="360">
        <f>IF(($A70+C$6)&gt;約款料金!$C$9,ROUNDDOWN(($A70+C$6)*(約款料金!$D$17+$J$4)+約款料金!$D$16,0),IF(($A70+C$6)&gt;約款料金!$B$9,ROUNDDOWN(($A70+C$6)*(約款料金!$C$17+$J$4)+約款料金!$C$16,0),ROUNDDOWN(($A70+C$6)*(約款料金!$B$17+$J$4)+約款料金!$B$16,0)))</f>
        <v>28406</v>
      </c>
      <c r="D70" s="360">
        <f>IF(($A70+D$6)&gt;約款料金!$C$9,ROUNDDOWN(($A70+D$6)*(約款料金!$D$17+$J$4)+約款料金!$D$16,0),IF(($A70+D$6)&gt;約款料金!$B$9,ROUNDDOWN(($A70+D$6)*(約款料金!$C$17+$J$4)+約款料金!$C$16,0),ROUNDDOWN(($A70+D$6)*(約款料金!$B$17+$J$4)+約款料金!$B$16,0)))</f>
        <v>28451</v>
      </c>
      <c r="E70" s="360">
        <f>IF(($A70+E$6)&gt;約款料金!$C$9,ROUNDDOWN(($A70+E$6)*(約款料金!$D$17+$J$4)+約款料金!$D$16,0),IF(($A70+E$6)&gt;約款料金!$B$9,ROUNDDOWN(($A70+E$6)*(約款料金!$C$17+$J$4)+約款料金!$C$16,0),ROUNDDOWN(($A70+E$6)*(約款料金!$B$17+$J$4)+約款料金!$B$16,0)))</f>
        <v>28496</v>
      </c>
      <c r="F70" s="360">
        <f>IF(($A70+F$6)&gt;約款料金!$C$9,ROUNDDOWN(($A70+F$6)*(約款料金!$D$17+$J$4)+約款料金!$D$16,0),IF(($A70+F$6)&gt;約款料金!$B$9,ROUNDDOWN(($A70+F$6)*(約款料金!$C$17+$J$4)+約款料金!$C$16,0),ROUNDDOWN(($A70+F$6)*(約款料金!$B$17+$J$4)+約款料金!$B$16,0)))</f>
        <v>28541</v>
      </c>
      <c r="G70" s="360">
        <f>IF(($A70+G$6)&gt;約款料金!$C$9,ROUNDDOWN(($A70+G$6)*(約款料金!$D$17+$J$4)+約款料金!$D$16,0),IF(($A70+G$6)&gt;約款料金!$B$9,ROUNDDOWN(($A70+G$6)*(約款料金!$C$17+$J$4)+約款料金!$C$16,0),ROUNDDOWN(($A70+G$6)*(約款料金!$B$17+$J$4)+約款料金!$B$16,0)))</f>
        <v>28586</v>
      </c>
      <c r="H70" s="360">
        <f>IF(($A70+H$6)&gt;約款料金!$C$9,ROUNDDOWN(($A70+H$6)*(約款料金!$D$17+$J$4)+約款料金!$D$16,0),IF(($A70+H$6)&gt;約款料金!$B$9,ROUNDDOWN(($A70+H$6)*(約款料金!$C$17+$J$4)+約款料金!$C$16,0),ROUNDDOWN(($A70+H$6)*(約款料金!$B$17+$J$4)+約款料金!$B$16,0)))</f>
        <v>28631</v>
      </c>
      <c r="I70" s="360">
        <f>IF(($A70+I$6)&gt;約款料金!$C$9,ROUNDDOWN(($A70+I$6)*(約款料金!$D$17+$J$4)+約款料金!$D$16,0),IF(($A70+I$6)&gt;約款料金!$B$9,ROUNDDOWN(($A70+I$6)*(約款料金!$C$17+$J$4)+約款料金!$C$16,0),ROUNDDOWN(($A70+I$6)*(約款料金!$B$17+$J$4)+約款料金!$B$16,0)))</f>
        <v>28676</v>
      </c>
      <c r="J70" s="360">
        <f>IF(($A70+J$6)&gt;約款料金!$C$9,ROUNDDOWN(($A70+J$6)*(約款料金!$D$17+$J$4)+約款料金!$D$16,0),IF(($A70+J$6)&gt;約款料金!$B$9,ROUNDDOWN(($A70+J$6)*(約款料金!$C$17+$J$4)+約款料金!$C$16,0),ROUNDDOWN(($A70+J$6)*(約款料金!$B$17+$J$4)+約款料金!$B$16,0)))</f>
        <v>28721</v>
      </c>
      <c r="K70" s="366">
        <f>IF(($A70+K$6)&gt;約款料金!$C$9,ROUNDDOWN(($A70+K$6)*(約款料金!$D$17+$J$4)+約款料金!$D$16,0),IF(($A70+K$6)&gt;約款料金!$B$9,ROUNDDOWN(($A70+K$6)*(約款料金!$C$17+$J$4)+約款料金!$C$16,0),ROUNDDOWN(($A70+K$6)*(約款料金!$B$17+$J$4)+約款料金!$B$16,0)))</f>
        <v>28766</v>
      </c>
    </row>
    <row r="71" spans="1:11">
      <c r="A71" s="380">
        <v>58</v>
      </c>
      <c r="B71" s="365">
        <f>IF(($A71+B$6)&gt;約款料金!$C$9,ROUNDDOWN(($A71+B$6)*(約款料金!$D$17+$J$4)+約款料金!$D$16,0),IF(($A71+B$6)&gt;約款料金!$B$9,ROUNDDOWN(($A71+B$6)*(約款料金!$C$17+$J$4)+約款料金!$C$16,0),ROUNDDOWN(($A71+B$6)*(約款料金!$B$17+$J$4)+約款料金!$B$16,0)))</f>
        <v>28810</v>
      </c>
      <c r="C71" s="360">
        <f>IF(($A71+C$6)&gt;約款料金!$C$9,ROUNDDOWN(($A71+C$6)*(約款料金!$D$17+$J$4)+約款料金!$D$16,0),IF(($A71+C$6)&gt;約款料金!$B$9,ROUNDDOWN(($A71+C$6)*(約款料金!$C$17+$J$4)+約款料金!$C$16,0),ROUNDDOWN(($A71+C$6)*(約款料金!$B$17+$J$4)+約款料金!$B$16,0)))</f>
        <v>28855</v>
      </c>
      <c r="D71" s="360">
        <f>IF(($A71+D$6)&gt;約款料金!$C$9,ROUNDDOWN(($A71+D$6)*(約款料金!$D$17+$J$4)+約款料金!$D$16,0),IF(($A71+D$6)&gt;約款料金!$B$9,ROUNDDOWN(($A71+D$6)*(約款料金!$C$17+$J$4)+約款料金!$C$16,0),ROUNDDOWN(($A71+D$6)*(約款料金!$B$17+$J$4)+約款料金!$B$16,0)))</f>
        <v>28900</v>
      </c>
      <c r="E71" s="360">
        <f>IF(($A71+E$6)&gt;約款料金!$C$9,ROUNDDOWN(($A71+E$6)*(約款料金!$D$17+$J$4)+約款料金!$D$16,0),IF(($A71+E$6)&gt;約款料金!$B$9,ROUNDDOWN(($A71+E$6)*(約款料金!$C$17+$J$4)+約款料金!$C$16,0),ROUNDDOWN(($A71+E$6)*(約款料金!$B$17+$J$4)+約款料金!$B$16,0)))</f>
        <v>28945</v>
      </c>
      <c r="F71" s="360">
        <f>IF(($A71+F$6)&gt;約款料金!$C$9,ROUNDDOWN(($A71+F$6)*(約款料金!$D$17+$J$4)+約款料金!$D$16,0),IF(($A71+F$6)&gt;約款料金!$B$9,ROUNDDOWN(($A71+F$6)*(約款料金!$C$17+$J$4)+約款料金!$C$16,0),ROUNDDOWN(($A71+F$6)*(約款料金!$B$17+$J$4)+約款料金!$B$16,0)))</f>
        <v>28990</v>
      </c>
      <c r="G71" s="360">
        <f>IF(($A71+G$6)&gt;約款料金!$C$9,ROUNDDOWN(($A71+G$6)*(約款料金!$D$17+$J$4)+約款料金!$D$16,0),IF(($A71+G$6)&gt;約款料金!$B$9,ROUNDDOWN(($A71+G$6)*(約款料金!$C$17+$J$4)+約款料金!$C$16,0),ROUNDDOWN(($A71+G$6)*(約款料金!$B$17+$J$4)+約款料金!$B$16,0)))</f>
        <v>29035</v>
      </c>
      <c r="H71" s="360">
        <f>IF(($A71+H$6)&gt;約款料金!$C$9,ROUNDDOWN(($A71+H$6)*(約款料金!$D$17+$J$4)+約款料金!$D$16,0),IF(($A71+H$6)&gt;約款料金!$B$9,ROUNDDOWN(($A71+H$6)*(約款料金!$C$17+$J$4)+約款料金!$C$16,0),ROUNDDOWN(($A71+H$6)*(約款料金!$B$17+$J$4)+約款料金!$B$16,0)))</f>
        <v>29080</v>
      </c>
      <c r="I71" s="360">
        <f>IF(($A71+I$6)&gt;約款料金!$C$9,ROUNDDOWN(($A71+I$6)*(約款料金!$D$17+$J$4)+約款料金!$D$16,0),IF(($A71+I$6)&gt;約款料金!$B$9,ROUNDDOWN(($A71+I$6)*(約款料金!$C$17+$J$4)+約款料金!$C$16,0),ROUNDDOWN(($A71+I$6)*(約款料金!$B$17+$J$4)+約款料金!$B$16,0)))</f>
        <v>29125</v>
      </c>
      <c r="J71" s="360">
        <f>IF(($A71+J$6)&gt;約款料金!$C$9,ROUNDDOWN(($A71+J$6)*(約款料金!$D$17+$J$4)+約款料金!$D$16,0),IF(($A71+J$6)&gt;約款料金!$B$9,ROUNDDOWN(($A71+J$6)*(約款料金!$C$17+$J$4)+約款料金!$C$16,0),ROUNDDOWN(($A71+J$6)*(約款料金!$B$17+$J$4)+約款料金!$B$16,0)))</f>
        <v>29170</v>
      </c>
      <c r="K71" s="366">
        <f>IF(($A71+K$6)&gt;約款料金!$C$9,ROUNDDOWN(($A71+K$6)*(約款料金!$D$17+$J$4)+約款料金!$D$16,0),IF(($A71+K$6)&gt;約款料金!$B$9,ROUNDDOWN(($A71+K$6)*(約款料金!$C$17+$J$4)+約款料金!$C$16,0),ROUNDDOWN(($A71+K$6)*(約款料金!$B$17+$J$4)+約款料金!$B$16,0)))</f>
        <v>29215</v>
      </c>
    </row>
    <row r="72" spans="1:11">
      <c r="A72" s="380">
        <v>59</v>
      </c>
      <c r="B72" s="365">
        <f>IF(($A72+B$6)&gt;約款料金!$C$9,ROUNDDOWN(($A72+B$6)*(約款料金!$D$17+$J$4)+約款料金!$D$16,0),IF(($A72+B$6)&gt;約款料金!$B$9,ROUNDDOWN(($A72+B$6)*(約款料金!$C$17+$J$4)+約款料金!$C$16,0),ROUNDDOWN(($A72+B$6)*(約款料金!$B$17+$J$4)+約款料金!$B$16,0)))</f>
        <v>29260</v>
      </c>
      <c r="C72" s="360">
        <f>IF(($A72+C$6)&gt;約款料金!$C$9,ROUNDDOWN(($A72+C$6)*(約款料金!$D$17+$J$4)+約款料金!$D$16,0),IF(($A72+C$6)&gt;約款料金!$B$9,ROUNDDOWN(($A72+C$6)*(約款料金!$C$17+$J$4)+約款料金!$C$16,0),ROUNDDOWN(($A72+C$6)*(約款料金!$B$17+$J$4)+約款料金!$B$16,0)))</f>
        <v>29304</v>
      </c>
      <c r="D72" s="360">
        <f>IF(($A72+D$6)&gt;約款料金!$C$9,ROUNDDOWN(($A72+D$6)*(約款料金!$D$17+$J$4)+約款料金!$D$16,0),IF(($A72+D$6)&gt;約款料金!$B$9,ROUNDDOWN(($A72+D$6)*(約款料金!$C$17+$J$4)+約款料金!$C$16,0),ROUNDDOWN(($A72+D$6)*(約款料金!$B$17+$J$4)+約款料金!$B$16,0)))</f>
        <v>29349</v>
      </c>
      <c r="E72" s="360">
        <f>IF(($A72+E$6)&gt;約款料金!$C$9,ROUNDDOWN(($A72+E$6)*(約款料金!$D$17+$J$4)+約款料金!$D$16,0),IF(($A72+E$6)&gt;約款料金!$B$9,ROUNDDOWN(($A72+E$6)*(約款料金!$C$17+$J$4)+約款料金!$C$16,0),ROUNDDOWN(($A72+E$6)*(約款料金!$B$17+$J$4)+約款料金!$B$16,0)))</f>
        <v>29394</v>
      </c>
      <c r="F72" s="360">
        <f>IF(($A72+F$6)&gt;約款料金!$C$9,ROUNDDOWN(($A72+F$6)*(約款料金!$D$17+$J$4)+約款料金!$D$16,0),IF(($A72+F$6)&gt;約款料金!$B$9,ROUNDDOWN(($A72+F$6)*(約款料金!$C$17+$J$4)+約款料金!$C$16,0),ROUNDDOWN(($A72+F$6)*(約款料金!$B$17+$J$4)+約款料金!$B$16,0)))</f>
        <v>29439</v>
      </c>
      <c r="G72" s="360">
        <f>IF(($A72+G$6)&gt;約款料金!$C$9,ROUNDDOWN(($A72+G$6)*(約款料金!$D$17+$J$4)+約款料金!$D$16,0),IF(($A72+G$6)&gt;約款料金!$B$9,ROUNDDOWN(($A72+G$6)*(約款料金!$C$17+$J$4)+約款料金!$C$16,0),ROUNDDOWN(($A72+G$6)*(約款料金!$B$17+$J$4)+約款料金!$B$16,0)))</f>
        <v>29484</v>
      </c>
      <c r="H72" s="360">
        <f>IF(($A72+H$6)&gt;約款料金!$C$9,ROUNDDOWN(($A72+H$6)*(約款料金!$D$17+$J$4)+約款料金!$D$16,0),IF(($A72+H$6)&gt;約款料金!$B$9,ROUNDDOWN(($A72+H$6)*(約款料金!$C$17+$J$4)+約款料金!$C$16,0),ROUNDDOWN(($A72+H$6)*(約款料金!$B$17+$J$4)+約款料金!$B$16,0)))</f>
        <v>29529</v>
      </c>
      <c r="I72" s="360">
        <f>IF(($A72+I$6)&gt;約款料金!$C$9,ROUNDDOWN(($A72+I$6)*(約款料金!$D$17+$J$4)+約款料金!$D$16,0),IF(($A72+I$6)&gt;約款料金!$B$9,ROUNDDOWN(($A72+I$6)*(約款料金!$C$17+$J$4)+約款料金!$C$16,0),ROUNDDOWN(($A72+I$6)*(約款料金!$B$17+$J$4)+約款料金!$B$16,0)))</f>
        <v>29574</v>
      </c>
      <c r="J72" s="360">
        <f>IF(($A72+J$6)&gt;約款料金!$C$9,ROUNDDOWN(($A72+J$6)*(約款料金!$D$17+$J$4)+約款料金!$D$16,0),IF(($A72+J$6)&gt;約款料金!$B$9,ROUNDDOWN(($A72+J$6)*(約款料金!$C$17+$J$4)+約款料金!$C$16,0),ROUNDDOWN(($A72+J$6)*(約款料金!$B$17+$J$4)+約款料金!$B$16,0)))</f>
        <v>29619</v>
      </c>
      <c r="K72" s="366">
        <f>IF(($A72+K$6)&gt;約款料金!$C$9,ROUNDDOWN(($A72+K$6)*(約款料金!$D$17+$J$4)+約款料金!$D$16,0),IF(($A72+K$6)&gt;約款料金!$B$9,ROUNDDOWN(($A72+K$6)*(約款料金!$C$17+$J$4)+約款料金!$C$16,0),ROUNDDOWN(($A72+K$6)*(約款料金!$B$17+$J$4)+約款料金!$B$16,0)))</f>
        <v>29664</v>
      </c>
    </row>
    <row r="73" spans="1:11">
      <c r="A73" s="382">
        <v>60</v>
      </c>
      <c r="B73" s="371">
        <f>IF(($A73+B$6)&gt;約款料金!$C$9,ROUNDDOWN(($A73+B$6)*(約款料金!$D$17+$J$4)+約款料金!$D$16,0),IF(($A73+B$6)&gt;約款料金!$B$9,ROUNDDOWN(($A73+B$6)*(約款料金!$C$17+$J$4)+約款料金!$C$16,0),ROUNDDOWN(($A73+B$6)*(約款料金!$B$17+$J$4)+約款料金!$B$16,0)))</f>
        <v>29709</v>
      </c>
      <c r="C73" s="372">
        <f>IF(($A73+C$6)&gt;約款料金!$C$9,ROUNDDOWN(($A73+C$6)*(約款料金!$D$17+$J$4)+約款料金!$D$16,0),IF(($A73+C$6)&gt;約款料金!$B$9,ROUNDDOWN(($A73+C$6)*(約款料金!$C$17+$J$4)+約款料金!$C$16,0),ROUNDDOWN(($A73+C$6)*(約款料金!$B$17+$J$4)+約款料金!$B$16,0)))</f>
        <v>29753</v>
      </c>
      <c r="D73" s="372">
        <f>IF(($A73+D$6)&gt;約款料金!$C$9,ROUNDDOWN(($A73+D$6)*(約款料金!$D$17+$J$4)+約款料金!$D$16,0),IF(($A73+D$6)&gt;約款料金!$B$9,ROUNDDOWN(($A73+D$6)*(約款料金!$C$17+$J$4)+約款料金!$C$16,0),ROUNDDOWN(($A73+D$6)*(約款料金!$B$17+$J$4)+約款料金!$B$16,0)))</f>
        <v>29798</v>
      </c>
      <c r="E73" s="372">
        <f>IF(($A73+E$6)&gt;約款料金!$C$9,ROUNDDOWN(($A73+E$6)*(約款料金!$D$17+$J$4)+約款料金!$D$16,0),IF(($A73+E$6)&gt;約款料金!$B$9,ROUNDDOWN(($A73+E$6)*(約款料金!$C$17+$J$4)+約款料金!$C$16,0),ROUNDDOWN(($A73+E$6)*(約款料金!$B$17+$J$4)+約款料金!$B$16,0)))</f>
        <v>29843</v>
      </c>
      <c r="F73" s="372">
        <f>IF(($A73+F$6)&gt;約款料金!$C$9,ROUNDDOWN(($A73+F$6)*(約款料金!$D$17+$J$4)+約款料金!$D$16,0),IF(($A73+F$6)&gt;約款料金!$B$9,ROUNDDOWN(($A73+F$6)*(約款料金!$C$17+$J$4)+約款料金!$C$16,0),ROUNDDOWN(($A73+F$6)*(約款料金!$B$17+$J$4)+約款料金!$B$16,0)))</f>
        <v>29888</v>
      </c>
      <c r="G73" s="372">
        <f>IF(($A73+G$6)&gt;約款料金!$C$9,ROUNDDOWN(($A73+G$6)*(約款料金!$D$17+$J$4)+約款料金!$D$16,0),IF(($A73+G$6)&gt;約款料金!$B$9,ROUNDDOWN(($A73+G$6)*(約款料金!$C$17+$J$4)+約款料金!$C$16,0),ROUNDDOWN(($A73+G$6)*(約款料金!$B$17+$J$4)+約款料金!$B$16,0)))</f>
        <v>29933</v>
      </c>
      <c r="H73" s="372">
        <f>IF(($A73+H$6)&gt;約款料金!$C$9,ROUNDDOWN(($A73+H$6)*(約款料金!$D$17+$J$4)+約款料金!$D$16,0),IF(($A73+H$6)&gt;約款料金!$B$9,ROUNDDOWN(($A73+H$6)*(約款料金!$C$17+$J$4)+約款料金!$C$16,0),ROUNDDOWN(($A73+H$6)*(約款料金!$B$17+$J$4)+約款料金!$B$16,0)))</f>
        <v>29978</v>
      </c>
      <c r="I73" s="372">
        <f>IF(($A73+I$6)&gt;約款料金!$C$9,ROUNDDOWN(($A73+I$6)*(約款料金!$D$17+$J$4)+約款料金!$D$16,0),IF(($A73+I$6)&gt;約款料金!$B$9,ROUNDDOWN(($A73+I$6)*(約款料金!$C$17+$J$4)+約款料金!$C$16,0),ROUNDDOWN(($A73+I$6)*(約款料金!$B$17+$J$4)+約款料金!$B$16,0)))</f>
        <v>30023</v>
      </c>
      <c r="J73" s="372">
        <f>IF(($A73+J$6)&gt;約款料金!$C$9,ROUNDDOWN(($A73+J$6)*(約款料金!$D$17+$J$4)+約款料金!$D$16,0),IF(($A73+J$6)&gt;約款料金!$B$9,ROUNDDOWN(($A73+J$6)*(約款料金!$C$17+$J$4)+約款料金!$C$16,0),ROUNDDOWN(($A73+J$6)*(約款料金!$B$17+$J$4)+約款料金!$B$16,0)))</f>
        <v>30068</v>
      </c>
      <c r="K73" s="373">
        <f>IF(($A73+K$6)&gt;約款料金!$C$9,ROUNDDOWN(($A73+K$6)*(約款料金!$D$17+$J$4)+約款料金!$D$16,0),IF(($A73+K$6)&gt;約款料金!$B$9,ROUNDDOWN(($A73+K$6)*(約款料金!$C$17+$J$4)+約款料金!$C$16,0),ROUNDDOWN(($A73+K$6)*(約款料金!$B$17+$J$4)+約款料金!$B$16,0)))</f>
        <v>30113</v>
      </c>
    </row>
    <row r="74" spans="1:11">
      <c r="A74" s="379">
        <v>61</v>
      </c>
      <c r="B74" s="365">
        <f>IF(($A74+B$6)&gt;約款料金!$C$9,ROUNDDOWN(($A74+B$6)*(約款料金!$D$17+$J$4)+約款料金!$D$16,0),IF(($A74+B$6)&gt;約款料金!$B$9,ROUNDDOWN(($A74+B$6)*(約款料金!$C$17+$J$4)+約款料金!$C$16,0),ROUNDDOWN(($A74+B$6)*(約款料金!$B$17+$J$4)+約款料金!$B$16,0)))</f>
        <v>30158</v>
      </c>
      <c r="C74" s="360">
        <f>IF(($A74+C$6)&gt;約款料金!$C$9,ROUNDDOWN(($A74+C$6)*(約款料金!$D$17+$J$4)+約款料金!$D$16,0),IF(($A74+C$6)&gt;約款料金!$B$9,ROUNDDOWN(($A74+C$6)*(約款料金!$C$17+$J$4)+約款料金!$C$16,0),ROUNDDOWN(($A74+C$6)*(約款料金!$B$17+$J$4)+約款料金!$B$16,0)))</f>
        <v>30202</v>
      </c>
      <c r="D74" s="360">
        <f>IF(($A74+D$6)&gt;約款料金!$C$9,ROUNDDOWN(($A74+D$6)*(約款料金!$D$17+$J$4)+約款料金!$D$16,0),IF(($A74+D$6)&gt;約款料金!$B$9,ROUNDDOWN(($A74+D$6)*(約款料金!$C$17+$J$4)+約款料金!$C$16,0),ROUNDDOWN(($A74+D$6)*(約款料金!$B$17+$J$4)+約款料金!$B$16,0)))</f>
        <v>30247</v>
      </c>
      <c r="E74" s="360">
        <f>IF(($A74+E$6)&gt;約款料金!$C$9,ROUNDDOWN(($A74+E$6)*(約款料金!$D$17+$J$4)+約款料金!$D$16,0),IF(($A74+E$6)&gt;約款料金!$B$9,ROUNDDOWN(($A74+E$6)*(約款料金!$C$17+$J$4)+約款料金!$C$16,0),ROUNDDOWN(($A74+E$6)*(約款料金!$B$17+$J$4)+約款料金!$B$16,0)))</f>
        <v>30292</v>
      </c>
      <c r="F74" s="360">
        <f>IF(($A74+F$6)&gt;約款料金!$C$9,ROUNDDOWN(($A74+F$6)*(約款料金!$D$17+$J$4)+約款料金!$D$16,0),IF(($A74+F$6)&gt;約款料金!$B$9,ROUNDDOWN(($A74+F$6)*(約款料金!$C$17+$J$4)+約款料金!$C$16,0),ROUNDDOWN(($A74+F$6)*(約款料金!$B$17+$J$4)+約款料金!$B$16,0)))</f>
        <v>30337</v>
      </c>
      <c r="G74" s="360">
        <f>IF(($A74+G$6)&gt;約款料金!$C$9,ROUNDDOWN(($A74+G$6)*(約款料金!$D$17+$J$4)+約款料金!$D$16,0),IF(($A74+G$6)&gt;約款料金!$B$9,ROUNDDOWN(($A74+G$6)*(約款料金!$C$17+$J$4)+約款料金!$C$16,0),ROUNDDOWN(($A74+G$6)*(約款料金!$B$17+$J$4)+約款料金!$B$16,0)))</f>
        <v>30382</v>
      </c>
      <c r="H74" s="360">
        <f>IF(($A74+H$6)&gt;約款料金!$C$9,ROUNDDOWN(($A74+H$6)*(約款料金!$D$17+$J$4)+約款料金!$D$16,0),IF(($A74+H$6)&gt;約款料金!$B$9,ROUNDDOWN(($A74+H$6)*(約款料金!$C$17+$J$4)+約款料金!$C$16,0),ROUNDDOWN(($A74+H$6)*(約款料金!$B$17+$J$4)+約款料金!$B$16,0)))</f>
        <v>30427</v>
      </c>
      <c r="I74" s="360">
        <f>IF(($A74+I$6)&gt;約款料金!$C$9,ROUNDDOWN(($A74+I$6)*(約款料金!$D$17+$J$4)+約款料金!$D$16,0),IF(($A74+I$6)&gt;約款料金!$B$9,ROUNDDOWN(($A74+I$6)*(約款料金!$C$17+$J$4)+約款料金!$C$16,0),ROUNDDOWN(($A74+I$6)*(約款料金!$B$17+$J$4)+約款料金!$B$16,0)))</f>
        <v>30472</v>
      </c>
      <c r="J74" s="360">
        <f>IF(($A74+J$6)&gt;約款料金!$C$9,ROUNDDOWN(($A74+J$6)*(約款料金!$D$17+$J$4)+約款料金!$D$16,0),IF(($A74+J$6)&gt;約款料金!$B$9,ROUNDDOWN(($A74+J$6)*(約款料金!$C$17+$J$4)+約款料金!$C$16,0),ROUNDDOWN(($A74+J$6)*(約款料金!$B$17+$J$4)+約款料金!$B$16,0)))</f>
        <v>30517</v>
      </c>
      <c r="K74" s="366">
        <f>IF(($A74+K$6)&gt;約款料金!$C$9,ROUNDDOWN(($A74+K$6)*(約款料金!$D$17+$J$4)+約款料金!$D$16,0),IF(($A74+K$6)&gt;約款料金!$B$9,ROUNDDOWN(($A74+K$6)*(約款料金!$C$17+$J$4)+約款料金!$C$16,0),ROUNDDOWN(($A74+K$6)*(約款料金!$B$17+$J$4)+約款料金!$B$16,0)))</f>
        <v>30562</v>
      </c>
    </row>
    <row r="75" spans="1:11">
      <c r="A75" s="380">
        <v>62</v>
      </c>
      <c r="B75" s="365">
        <f>IF(($A75+B$6)&gt;約款料金!$C$9,ROUNDDOWN(($A75+B$6)*(約款料金!$D$17+$J$4)+約款料金!$D$16,0),IF(($A75+B$6)&gt;約款料金!$B$9,ROUNDDOWN(($A75+B$6)*(約款料金!$C$17+$J$4)+約款料金!$C$16,0),ROUNDDOWN(($A75+B$6)*(約款料金!$B$17+$J$4)+約款料金!$B$16,0)))</f>
        <v>30607</v>
      </c>
      <c r="C75" s="360">
        <f>IF(($A75+C$6)&gt;約款料金!$C$9,ROUNDDOWN(($A75+C$6)*(約款料金!$D$17+$J$4)+約款料金!$D$16,0),IF(($A75+C$6)&gt;約款料金!$B$9,ROUNDDOWN(($A75+C$6)*(約款料金!$C$17+$J$4)+約款料金!$C$16,0),ROUNDDOWN(($A75+C$6)*(約款料金!$B$17+$J$4)+約款料金!$B$16,0)))</f>
        <v>30651</v>
      </c>
      <c r="D75" s="360">
        <f>IF(($A75+D$6)&gt;約款料金!$C$9,ROUNDDOWN(($A75+D$6)*(約款料金!$D$17+$J$4)+約款料金!$D$16,0),IF(($A75+D$6)&gt;約款料金!$B$9,ROUNDDOWN(($A75+D$6)*(約款料金!$C$17+$J$4)+約款料金!$C$16,0),ROUNDDOWN(($A75+D$6)*(約款料金!$B$17+$J$4)+約款料金!$B$16,0)))</f>
        <v>30696</v>
      </c>
      <c r="E75" s="360">
        <f>IF(($A75+E$6)&gt;約款料金!$C$9,ROUNDDOWN(($A75+E$6)*(約款料金!$D$17+$J$4)+約款料金!$D$16,0),IF(($A75+E$6)&gt;約款料金!$B$9,ROUNDDOWN(($A75+E$6)*(約款料金!$C$17+$J$4)+約款料金!$C$16,0),ROUNDDOWN(($A75+E$6)*(約款料金!$B$17+$J$4)+約款料金!$B$16,0)))</f>
        <v>30741</v>
      </c>
      <c r="F75" s="360">
        <f>IF(($A75+F$6)&gt;約款料金!$C$9,ROUNDDOWN(($A75+F$6)*(約款料金!$D$17+$J$4)+約款料金!$D$16,0),IF(($A75+F$6)&gt;約款料金!$B$9,ROUNDDOWN(($A75+F$6)*(約款料金!$C$17+$J$4)+約款料金!$C$16,0),ROUNDDOWN(($A75+F$6)*(約款料金!$B$17+$J$4)+約款料金!$B$16,0)))</f>
        <v>30786</v>
      </c>
      <c r="G75" s="360">
        <f>IF(($A75+G$6)&gt;約款料金!$C$9,ROUNDDOWN(($A75+G$6)*(約款料金!$D$17+$J$4)+約款料金!$D$16,0),IF(($A75+G$6)&gt;約款料金!$B$9,ROUNDDOWN(($A75+G$6)*(約款料金!$C$17+$J$4)+約款料金!$C$16,0),ROUNDDOWN(($A75+G$6)*(約款料金!$B$17+$J$4)+約款料金!$B$16,0)))</f>
        <v>30831</v>
      </c>
      <c r="H75" s="360">
        <f>IF(($A75+H$6)&gt;約款料金!$C$9,ROUNDDOWN(($A75+H$6)*(約款料金!$D$17+$J$4)+約款料金!$D$16,0),IF(($A75+H$6)&gt;約款料金!$B$9,ROUNDDOWN(($A75+H$6)*(約款料金!$C$17+$J$4)+約款料金!$C$16,0),ROUNDDOWN(($A75+H$6)*(約款料金!$B$17+$J$4)+約款料金!$B$16,0)))</f>
        <v>30876</v>
      </c>
      <c r="I75" s="360">
        <f>IF(($A75+I$6)&gt;約款料金!$C$9,ROUNDDOWN(($A75+I$6)*(約款料金!$D$17+$J$4)+約款料金!$D$16,0),IF(($A75+I$6)&gt;約款料金!$B$9,ROUNDDOWN(($A75+I$6)*(約款料金!$C$17+$J$4)+約款料金!$C$16,0),ROUNDDOWN(($A75+I$6)*(約款料金!$B$17+$J$4)+約款料金!$B$16,0)))</f>
        <v>30921</v>
      </c>
      <c r="J75" s="360">
        <f>IF(($A75+J$6)&gt;約款料金!$C$9,ROUNDDOWN(($A75+J$6)*(約款料金!$D$17+$J$4)+約款料金!$D$16,0),IF(($A75+J$6)&gt;約款料金!$B$9,ROUNDDOWN(($A75+J$6)*(約款料金!$C$17+$J$4)+約款料金!$C$16,0),ROUNDDOWN(($A75+J$6)*(約款料金!$B$17+$J$4)+約款料金!$B$16,0)))</f>
        <v>30966</v>
      </c>
      <c r="K75" s="366">
        <f>IF(($A75+K$6)&gt;約款料金!$C$9,ROUNDDOWN(($A75+K$6)*(約款料金!$D$17+$J$4)+約款料金!$D$16,0),IF(($A75+K$6)&gt;約款料金!$B$9,ROUNDDOWN(($A75+K$6)*(約款料金!$C$17+$J$4)+約款料金!$C$16,0),ROUNDDOWN(($A75+K$6)*(約款料金!$B$17+$J$4)+約款料金!$B$16,0)))</f>
        <v>31011</v>
      </c>
    </row>
    <row r="76" spans="1:11">
      <c r="A76" s="380">
        <v>63</v>
      </c>
      <c r="B76" s="365">
        <f>IF(($A76+B$6)&gt;約款料金!$C$9,ROUNDDOWN(($A76+B$6)*(約款料金!$D$17+$J$4)+約款料金!$D$16,0),IF(($A76+B$6)&gt;約款料金!$B$9,ROUNDDOWN(($A76+B$6)*(約款料金!$C$17+$J$4)+約款料金!$C$16,0),ROUNDDOWN(($A76+B$6)*(約款料金!$B$17+$J$4)+約款料金!$B$16,0)))</f>
        <v>31056</v>
      </c>
      <c r="C76" s="360">
        <f>IF(($A76+C$6)&gt;約款料金!$C$9,ROUNDDOWN(($A76+C$6)*(約款料金!$D$17+$J$4)+約款料金!$D$16,0),IF(($A76+C$6)&gt;約款料金!$B$9,ROUNDDOWN(($A76+C$6)*(約款料金!$C$17+$J$4)+約款料金!$C$16,0),ROUNDDOWN(($A76+C$6)*(約款料金!$B$17+$J$4)+約款料金!$B$16,0)))</f>
        <v>31100</v>
      </c>
      <c r="D76" s="360">
        <f>IF(($A76+D$6)&gt;約款料金!$C$9,ROUNDDOWN(($A76+D$6)*(約款料金!$D$17+$J$4)+約款料金!$D$16,0),IF(($A76+D$6)&gt;約款料金!$B$9,ROUNDDOWN(($A76+D$6)*(約款料金!$C$17+$J$4)+約款料金!$C$16,0),ROUNDDOWN(($A76+D$6)*(約款料金!$B$17+$J$4)+約款料金!$B$16,0)))</f>
        <v>31145</v>
      </c>
      <c r="E76" s="360">
        <f>IF(($A76+E$6)&gt;約款料金!$C$9,ROUNDDOWN(($A76+E$6)*(約款料金!$D$17+$J$4)+約款料金!$D$16,0),IF(($A76+E$6)&gt;約款料金!$B$9,ROUNDDOWN(($A76+E$6)*(約款料金!$C$17+$J$4)+約款料金!$C$16,0),ROUNDDOWN(($A76+E$6)*(約款料金!$B$17+$J$4)+約款料金!$B$16,0)))</f>
        <v>31190</v>
      </c>
      <c r="F76" s="360">
        <f>IF(($A76+F$6)&gt;約款料金!$C$9,ROUNDDOWN(($A76+F$6)*(約款料金!$D$17+$J$4)+約款料金!$D$16,0),IF(($A76+F$6)&gt;約款料金!$B$9,ROUNDDOWN(($A76+F$6)*(約款料金!$C$17+$J$4)+約款料金!$C$16,0),ROUNDDOWN(($A76+F$6)*(約款料金!$B$17+$J$4)+約款料金!$B$16,0)))</f>
        <v>31235</v>
      </c>
      <c r="G76" s="360">
        <f>IF(($A76+G$6)&gt;約款料金!$C$9,ROUNDDOWN(($A76+G$6)*(約款料金!$D$17+$J$4)+約款料金!$D$16,0),IF(($A76+G$6)&gt;約款料金!$B$9,ROUNDDOWN(($A76+G$6)*(約款料金!$C$17+$J$4)+約款料金!$C$16,0),ROUNDDOWN(($A76+G$6)*(約款料金!$B$17+$J$4)+約款料金!$B$16,0)))</f>
        <v>31280</v>
      </c>
      <c r="H76" s="360">
        <f>IF(($A76+H$6)&gt;約款料金!$C$9,ROUNDDOWN(($A76+H$6)*(約款料金!$D$17+$J$4)+約款料金!$D$16,0),IF(($A76+H$6)&gt;約款料金!$B$9,ROUNDDOWN(($A76+H$6)*(約款料金!$C$17+$J$4)+約款料金!$C$16,0),ROUNDDOWN(($A76+H$6)*(約款料金!$B$17+$J$4)+約款料金!$B$16,0)))</f>
        <v>31325</v>
      </c>
      <c r="I76" s="360">
        <f>IF(($A76+I$6)&gt;約款料金!$C$9,ROUNDDOWN(($A76+I$6)*(約款料金!$D$17+$J$4)+約款料金!$D$16,0),IF(($A76+I$6)&gt;約款料金!$B$9,ROUNDDOWN(($A76+I$6)*(約款料金!$C$17+$J$4)+約款料金!$C$16,0),ROUNDDOWN(($A76+I$6)*(約款料金!$B$17+$J$4)+約款料金!$B$16,0)))</f>
        <v>31370</v>
      </c>
      <c r="J76" s="360">
        <f>IF(($A76+J$6)&gt;約款料金!$C$9,ROUNDDOWN(($A76+J$6)*(約款料金!$D$17+$J$4)+約款料金!$D$16,0),IF(($A76+J$6)&gt;約款料金!$B$9,ROUNDDOWN(($A76+J$6)*(約款料金!$C$17+$J$4)+約款料金!$C$16,0),ROUNDDOWN(($A76+J$6)*(約款料金!$B$17+$J$4)+約款料金!$B$16,0)))</f>
        <v>31415</v>
      </c>
      <c r="K76" s="366">
        <f>IF(($A76+K$6)&gt;約款料金!$C$9,ROUNDDOWN(($A76+K$6)*(約款料金!$D$17+$J$4)+約款料金!$D$16,0),IF(($A76+K$6)&gt;約款料金!$B$9,ROUNDDOWN(($A76+K$6)*(約款料金!$C$17+$J$4)+約款料金!$C$16,0),ROUNDDOWN(($A76+K$6)*(約款料金!$B$17+$J$4)+約款料金!$B$16,0)))</f>
        <v>31460</v>
      </c>
    </row>
    <row r="77" spans="1:11">
      <c r="A77" s="380">
        <v>64</v>
      </c>
      <c r="B77" s="365">
        <f>IF(($A77+B$6)&gt;約款料金!$C$9,ROUNDDOWN(($A77+B$6)*(約款料金!$D$17+$J$4)+約款料金!$D$16,0),IF(($A77+B$6)&gt;約款料金!$B$9,ROUNDDOWN(($A77+B$6)*(約款料金!$C$17+$J$4)+約款料金!$C$16,0),ROUNDDOWN(($A77+B$6)*(約款料金!$B$17+$J$4)+約款料金!$B$16,0)))</f>
        <v>31505</v>
      </c>
      <c r="C77" s="360">
        <f>IF(($A77+C$6)&gt;約款料金!$C$9,ROUNDDOWN(($A77+C$6)*(約款料金!$D$17+$J$4)+約款料金!$D$16,0),IF(($A77+C$6)&gt;約款料金!$B$9,ROUNDDOWN(($A77+C$6)*(約款料金!$C$17+$J$4)+約款料金!$C$16,0),ROUNDDOWN(($A77+C$6)*(約款料金!$B$17+$J$4)+約款料金!$B$16,0)))</f>
        <v>31550</v>
      </c>
      <c r="D77" s="360">
        <f>IF(($A77+D$6)&gt;約款料金!$C$9,ROUNDDOWN(($A77+D$6)*(約款料金!$D$17+$J$4)+約款料金!$D$16,0),IF(($A77+D$6)&gt;約款料金!$B$9,ROUNDDOWN(($A77+D$6)*(約款料金!$C$17+$J$4)+約款料金!$C$16,0),ROUNDDOWN(($A77+D$6)*(約款料金!$B$17+$J$4)+約款料金!$B$16,0)))</f>
        <v>31594</v>
      </c>
      <c r="E77" s="360">
        <f>IF(($A77+E$6)&gt;約款料金!$C$9,ROUNDDOWN(($A77+E$6)*(約款料金!$D$17+$J$4)+約款料金!$D$16,0),IF(($A77+E$6)&gt;約款料金!$B$9,ROUNDDOWN(($A77+E$6)*(約款料金!$C$17+$J$4)+約款料金!$C$16,0),ROUNDDOWN(($A77+E$6)*(約款料金!$B$17+$J$4)+約款料金!$B$16,0)))</f>
        <v>31639</v>
      </c>
      <c r="F77" s="360">
        <f>IF(($A77+F$6)&gt;約款料金!$C$9,ROUNDDOWN(($A77+F$6)*(約款料金!$D$17+$J$4)+約款料金!$D$16,0),IF(($A77+F$6)&gt;約款料金!$B$9,ROUNDDOWN(($A77+F$6)*(約款料金!$C$17+$J$4)+約款料金!$C$16,0),ROUNDDOWN(($A77+F$6)*(約款料金!$B$17+$J$4)+約款料金!$B$16,0)))</f>
        <v>31684</v>
      </c>
      <c r="G77" s="360">
        <f>IF(($A77+G$6)&gt;約款料金!$C$9,ROUNDDOWN(($A77+G$6)*(約款料金!$D$17+$J$4)+約款料金!$D$16,0),IF(($A77+G$6)&gt;約款料金!$B$9,ROUNDDOWN(($A77+G$6)*(約款料金!$C$17+$J$4)+約款料金!$C$16,0),ROUNDDOWN(($A77+G$6)*(約款料金!$B$17+$J$4)+約款料金!$B$16,0)))</f>
        <v>31729</v>
      </c>
      <c r="H77" s="360">
        <f>IF(($A77+H$6)&gt;約款料金!$C$9,ROUNDDOWN(($A77+H$6)*(約款料金!$D$17+$J$4)+約款料金!$D$16,0),IF(($A77+H$6)&gt;約款料金!$B$9,ROUNDDOWN(($A77+H$6)*(約款料金!$C$17+$J$4)+約款料金!$C$16,0),ROUNDDOWN(($A77+H$6)*(約款料金!$B$17+$J$4)+約款料金!$B$16,0)))</f>
        <v>31774</v>
      </c>
      <c r="I77" s="360">
        <f>IF(($A77+I$6)&gt;約款料金!$C$9,ROUNDDOWN(($A77+I$6)*(約款料金!$D$17+$J$4)+約款料金!$D$16,0),IF(($A77+I$6)&gt;約款料金!$B$9,ROUNDDOWN(($A77+I$6)*(約款料金!$C$17+$J$4)+約款料金!$C$16,0),ROUNDDOWN(($A77+I$6)*(約款料金!$B$17+$J$4)+約款料金!$B$16,0)))</f>
        <v>31819</v>
      </c>
      <c r="J77" s="360">
        <f>IF(($A77+J$6)&gt;約款料金!$C$9,ROUNDDOWN(($A77+J$6)*(約款料金!$D$17+$J$4)+約款料金!$D$16,0),IF(($A77+J$6)&gt;約款料金!$B$9,ROUNDDOWN(($A77+J$6)*(約款料金!$C$17+$J$4)+約款料金!$C$16,0),ROUNDDOWN(($A77+J$6)*(約款料金!$B$17+$J$4)+約款料金!$B$16,0)))</f>
        <v>31864</v>
      </c>
      <c r="K77" s="366">
        <f>IF(($A77+K$6)&gt;約款料金!$C$9,ROUNDDOWN(($A77+K$6)*(約款料金!$D$17+$J$4)+約款料金!$D$16,0),IF(($A77+K$6)&gt;約款料金!$B$9,ROUNDDOWN(($A77+K$6)*(約款料金!$C$17+$J$4)+約款料金!$C$16,0),ROUNDDOWN(($A77+K$6)*(約款料金!$B$17+$J$4)+約款料金!$B$16,0)))</f>
        <v>31909</v>
      </c>
    </row>
    <row r="78" spans="1:11">
      <c r="A78" s="382">
        <v>65</v>
      </c>
      <c r="B78" s="371">
        <f>IF(($A78+B$6)&gt;約款料金!$C$9,ROUNDDOWN(($A78+B$6)*(約款料金!$D$17+$J$4)+約款料金!$D$16,0),IF(($A78+B$6)&gt;約款料金!$B$9,ROUNDDOWN(($A78+B$6)*(約款料金!$C$17+$J$4)+約款料金!$C$16,0),ROUNDDOWN(($A78+B$6)*(約款料金!$B$17+$J$4)+約款料金!$B$16,0)))</f>
        <v>31954</v>
      </c>
      <c r="C78" s="372">
        <f>IF(($A78+C$6)&gt;約款料金!$C$9,ROUNDDOWN(($A78+C$6)*(約款料金!$D$17+$J$4)+約款料金!$D$16,0),IF(($A78+C$6)&gt;約款料金!$B$9,ROUNDDOWN(($A78+C$6)*(約款料金!$C$17+$J$4)+約款料金!$C$16,0),ROUNDDOWN(($A78+C$6)*(約款料金!$B$17+$J$4)+約款料金!$B$16,0)))</f>
        <v>31999</v>
      </c>
      <c r="D78" s="372">
        <f>IF(($A78+D$6)&gt;約款料金!$C$9,ROUNDDOWN(($A78+D$6)*(約款料金!$D$17+$J$4)+約款料金!$D$16,0),IF(($A78+D$6)&gt;約款料金!$B$9,ROUNDDOWN(($A78+D$6)*(約款料金!$C$17+$J$4)+約款料金!$C$16,0),ROUNDDOWN(($A78+D$6)*(約款料金!$B$17+$J$4)+約款料金!$B$16,0)))</f>
        <v>32043</v>
      </c>
      <c r="E78" s="372">
        <f>IF(($A78+E$6)&gt;約款料金!$C$9,ROUNDDOWN(($A78+E$6)*(約款料金!$D$17+$J$4)+約款料金!$D$16,0),IF(($A78+E$6)&gt;約款料金!$B$9,ROUNDDOWN(($A78+E$6)*(約款料金!$C$17+$J$4)+約款料金!$C$16,0),ROUNDDOWN(($A78+E$6)*(約款料金!$B$17+$J$4)+約款料金!$B$16,0)))</f>
        <v>32088</v>
      </c>
      <c r="F78" s="372">
        <f>IF(($A78+F$6)&gt;約款料金!$C$9,ROUNDDOWN(($A78+F$6)*(約款料金!$D$17+$J$4)+約款料金!$D$16,0),IF(($A78+F$6)&gt;約款料金!$B$9,ROUNDDOWN(($A78+F$6)*(約款料金!$C$17+$J$4)+約款料金!$C$16,0),ROUNDDOWN(($A78+F$6)*(約款料金!$B$17+$J$4)+約款料金!$B$16,0)))</f>
        <v>32133</v>
      </c>
      <c r="G78" s="372">
        <f>IF(($A78+G$6)&gt;約款料金!$C$9,ROUNDDOWN(($A78+G$6)*(約款料金!$D$17+$J$4)+約款料金!$D$16,0),IF(($A78+G$6)&gt;約款料金!$B$9,ROUNDDOWN(($A78+G$6)*(約款料金!$C$17+$J$4)+約款料金!$C$16,0),ROUNDDOWN(($A78+G$6)*(約款料金!$B$17+$J$4)+約款料金!$B$16,0)))</f>
        <v>32178</v>
      </c>
      <c r="H78" s="372">
        <f>IF(($A78+H$6)&gt;約款料金!$C$9,ROUNDDOWN(($A78+H$6)*(約款料金!$D$17+$J$4)+約款料金!$D$16,0),IF(($A78+H$6)&gt;約款料金!$B$9,ROUNDDOWN(($A78+H$6)*(約款料金!$C$17+$J$4)+約款料金!$C$16,0),ROUNDDOWN(($A78+H$6)*(約款料金!$B$17+$J$4)+約款料金!$B$16,0)))</f>
        <v>32223</v>
      </c>
      <c r="I78" s="372">
        <f>IF(($A78+I$6)&gt;約款料金!$C$9,ROUNDDOWN(($A78+I$6)*(約款料金!$D$17+$J$4)+約款料金!$D$16,0),IF(($A78+I$6)&gt;約款料金!$B$9,ROUNDDOWN(($A78+I$6)*(約款料金!$C$17+$J$4)+約款料金!$C$16,0),ROUNDDOWN(($A78+I$6)*(約款料金!$B$17+$J$4)+約款料金!$B$16,0)))</f>
        <v>32268</v>
      </c>
      <c r="J78" s="372">
        <f>IF(($A78+J$6)&gt;約款料金!$C$9,ROUNDDOWN(($A78+J$6)*(約款料金!$D$17+$J$4)+約款料金!$D$16,0),IF(($A78+J$6)&gt;約款料金!$B$9,ROUNDDOWN(($A78+J$6)*(約款料金!$C$17+$J$4)+約款料金!$C$16,0),ROUNDDOWN(($A78+J$6)*(約款料金!$B$17+$J$4)+約款料金!$B$16,0)))</f>
        <v>32313</v>
      </c>
      <c r="K78" s="373">
        <f>IF(($A78+K$6)&gt;約款料金!$C$9,ROUNDDOWN(($A78+K$6)*(約款料金!$D$17+$J$4)+約款料金!$D$16,0),IF(($A78+K$6)&gt;約款料金!$B$9,ROUNDDOWN(($A78+K$6)*(約款料金!$C$17+$J$4)+約款料金!$C$16,0),ROUNDDOWN(($A78+K$6)*(約款料金!$B$17+$J$4)+約款料金!$B$16,0)))</f>
        <v>32358</v>
      </c>
    </row>
    <row r="79" spans="1:11">
      <c r="A79" s="379">
        <v>66</v>
      </c>
      <c r="B79" s="365">
        <f>IF(($A79+B$6)&gt;約款料金!$C$9,ROUNDDOWN(($A79+B$6)*(約款料金!$D$17+$J$4)+約款料金!$D$16,0),IF(($A79+B$6)&gt;約款料金!$B$9,ROUNDDOWN(($A79+B$6)*(約款料金!$C$17+$J$4)+約款料金!$C$16,0),ROUNDDOWN(($A79+B$6)*(約款料金!$B$17+$J$4)+約款料金!$B$16,0)))</f>
        <v>32403</v>
      </c>
      <c r="C79" s="360">
        <f>IF(($A79+C$6)&gt;約款料金!$C$9,ROUNDDOWN(($A79+C$6)*(約款料金!$D$17+$J$4)+約款料金!$D$16,0),IF(($A79+C$6)&gt;約款料金!$B$9,ROUNDDOWN(($A79+C$6)*(約款料金!$C$17+$J$4)+約款料金!$C$16,0),ROUNDDOWN(($A79+C$6)*(約款料金!$B$17+$J$4)+約款料金!$B$16,0)))</f>
        <v>32448</v>
      </c>
      <c r="D79" s="360">
        <f>IF(($A79+D$6)&gt;約款料金!$C$9,ROUNDDOWN(($A79+D$6)*(約款料金!$D$17+$J$4)+約款料金!$D$16,0),IF(($A79+D$6)&gt;約款料金!$B$9,ROUNDDOWN(($A79+D$6)*(約款料金!$C$17+$J$4)+約款料金!$C$16,0),ROUNDDOWN(($A79+D$6)*(約款料金!$B$17+$J$4)+約款料金!$B$16,0)))</f>
        <v>32492</v>
      </c>
      <c r="E79" s="360">
        <f>IF(($A79+E$6)&gt;約款料金!$C$9,ROUNDDOWN(($A79+E$6)*(約款料金!$D$17+$J$4)+約款料金!$D$16,0),IF(($A79+E$6)&gt;約款料金!$B$9,ROUNDDOWN(($A79+E$6)*(約款料金!$C$17+$J$4)+約款料金!$C$16,0),ROUNDDOWN(($A79+E$6)*(約款料金!$B$17+$J$4)+約款料金!$B$16,0)))</f>
        <v>32537</v>
      </c>
      <c r="F79" s="360">
        <f>IF(($A79+F$6)&gt;約款料金!$C$9,ROUNDDOWN(($A79+F$6)*(約款料金!$D$17+$J$4)+約款料金!$D$16,0),IF(($A79+F$6)&gt;約款料金!$B$9,ROUNDDOWN(($A79+F$6)*(約款料金!$C$17+$J$4)+約款料金!$C$16,0),ROUNDDOWN(($A79+F$6)*(約款料金!$B$17+$J$4)+約款料金!$B$16,0)))</f>
        <v>32582</v>
      </c>
      <c r="G79" s="360">
        <f>IF(($A79+G$6)&gt;約款料金!$C$9,ROUNDDOWN(($A79+G$6)*(約款料金!$D$17+$J$4)+約款料金!$D$16,0),IF(($A79+G$6)&gt;約款料金!$B$9,ROUNDDOWN(($A79+G$6)*(約款料金!$C$17+$J$4)+約款料金!$C$16,0),ROUNDDOWN(($A79+G$6)*(約款料金!$B$17+$J$4)+約款料金!$B$16,0)))</f>
        <v>32627</v>
      </c>
      <c r="H79" s="360">
        <f>IF(($A79+H$6)&gt;約款料金!$C$9,ROUNDDOWN(($A79+H$6)*(約款料金!$D$17+$J$4)+約款料金!$D$16,0),IF(($A79+H$6)&gt;約款料金!$B$9,ROUNDDOWN(($A79+H$6)*(約款料金!$C$17+$J$4)+約款料金!$C$16,0),ROUNDDOWN(($A79+H$6)*(約款料金!$B$17+$J$4)+約款料金!$B$16,0)))</f>
        <v>32672</v>
      </c>
      <c r="I79" s="360">
        <f>IF(($A79+I$6)&gt;約款料金!$C$9,ROUNDDOWN(($A79+I$6)*(約款料金!$D$17+$J$4)+約款料金!$D$16,0),IF(($A79+I$6)&gt;約款料金!$B$9,ROUNDDOWN(($A79+I$6)*(約款料金!$C$17+$J$4)+約款料金!$C$16,0),ROUNDDOWN(($A79+I$6)*(約款料金!$B$17+$J$4)+約款料金!$B$16,0)))</f>
        <v>32717</v>
      </c>
      <c r="J79" s="360">
        <f>IF(($A79+J$6)&gt;約款料金!$C$9,ROUNDDOWN(($A79+J$6)*(約款料金!$D$17+$J$4)+約款料金!$D$16,0),IF(($A79+J$6)&gt;約款料金!$B$9,ROUNDDOWN(($A79+J$6)*(約款料金!$C$17+$J$4)+約款料金!$C$16,0),ROUNDDOWN(($A79+J$6)*(約款料金!$B$17+$J$4)+約款料金!$B$16,0)))</f>
        <v>32762</v>
      </c>
      <c r="K79" s="366">
        <f>IF(($A79+K$6)&gt;約款料金!$C$9,ROUNDDOWN(($A79+K$6)*(約款料金!$D$17+$J$4)+約款料金!$D$16,0),IF(($A79+K$6)&gt;約款料金!$B$9,ROUNDDOWN(($A79+K$6)*(約款料金!$C$17+$J$4)+約款料金!$C$16,0),ROUNDDOWN(($A79+K$6)*(約款料金!$B$17+$J$4)+約款料金!$B$16,0)))</f>
        <v>32807</v>
      </c>
    </row>
    <row r="80" spans="1:11">
      <c r="A80" s="380">
        <v>67</v>
      </c>
      <c r="B80" s="365">
        <f>IF(($A80+B$6)&gt;約款料金!$C$9,ROUNDDOWN(($A80+B$6)*(約款料金!$D$17+$J$4)+約款料金!$D$16,0),IF(($A80+B$6)&gt;約款料金!$B$9,ROUNDDOWN(($A80+B$6)*(約款料金!$C$17+$J$4)+約款料金!$C$16,0),ROUNDDOWN(($A80+B$6)*(約款料金!$B$17+$J$4)+約款料金!$B$16,0)))</f>
        <v>32852</v>
      </c>
      <c r="C80" s="360">
        <f>IF(($A80+C$6)&gt;約款料金!$C$9,ROUNDDOWN(($A80+C$6)*(約款料金!$D$17+$J$4)+約款料金!$D$16,0),IF(($A80+C$6)&gt;約款料金!$B$9,ROUNDDOWN(($A80+C$6)*(約款料金!$C$17+$J$4)+約款料金!$C$16,0),ROUNDDOWN(($A80+C$6)*(約款料金!$B$17+$J$4)+約款料金!$B$16,0)))</f>
        <v>32897</v>
      </c>
      <c r="D80" s="360">
        <f>IF(($A80+D$6)&gt;約款料金!$C$9,ROUNDDOWN(($A80+D$6)*(約款料金!$D$17+$J$4)+約款料金!$D$16,0),IF(($A80+D$6)&gt;約款料金!$B$9,ROUNDDOWN(($A80+D$6)*(約款料金!$C$17+$J$4)+約款料金!$C$16,0),ROUNDDOWN(($A80+D$6)*(約款料金!$B$17+$J$4)+約款料金!$B$16,0)))</f>
        <v>32941</v>
      </c>
      <c r="E80" s="360">
        <f>IF(($A80+E$6)&gt;約款料金!$C$9,ROUNDDOWN(($A80+E$6)*(約款料金!$D$17+$J$4)+約款料金!$D$16,0),IF(($A80+E$6)&gt;約款料金!$B$9,ROUNDDOWN(($A80+E$6)*(約款料金!$C$17+$J$4)+約款料金!$C$16,0),ROUNDDOWN(($A80+E$6)*(約款料金!$B$17+$J$4)+約款料金!$B$16,0)))</f>
        <v>32986</v>
      </c>
      <c r="F80" s="360">
        <f>IF(($A80+F$6)&gt;約款料金!$C$9,ROUNDDOWN(($A80+F$6)*(約款料金!$D$17+$J$4)+約款料金!$D$16,0),IF(($A80+F$6)&gt;約款料金!$B$9,ROUNDDOWN(($A80+F$6)*(約款料金!$C$17+$J$4)+約款料金!$C$16,0),ROUNDDOWN(($A80+F$6)*(約款料金!$B$17+$J$4)+約款料金!$B$16,0)))</f>
        <v>33031</v>
      </c>
      <c r="G80" s="360">
        <f>IF(($A80+G$6)&gt;約款料金!$C$9,ROUNDDOWN(($A80+G$6)*(約款料金!$D$17+$J$4)+約款料金!$D$16,0),IF(($A80+G$6)&gt;約款料金!$B$9,ROUNDDOWN(($A80+G$6)*(約款料金!$C$17+$J$4)+約款料金!$C$16,0),ROUNDDOWN(($A80+G$6)*(約款料金!$B$17+$J$4)+約款料金!$B$16,0)))</f>
        <v>33076</v>
      </c>
      <c r="H80" s="360">
        <f>IF(($A80+H$6)&gt;約款料金!$C$9,ROUNDDOWN(($A80+H$6)*(約款料金!$D$17+$J$4)+約款料金!$D$16,0),IF(($A80+H$6)&gt;約款料金!$B$9,ROUNDDOWN(($A80+H$6)*(約款料金!$C$17+$J$4)+約款料金!$C$16,0),ROUNDDOWN(($A80+H$6)*(約款料金!$B$17+$J$4)+約款料金!$B$16,0)))</f>
        <v>33121</v>
      </c>
      <c r="I80" s="360">
        <f>IF(($A80+I$6)&gt;約款料金!$C$9,ROUNDDOWN(($A80+I$6)*(約款料金!$D$17+$J$4)+約款料金!$D$16,0),IF(($A80+I$6)&gt;約款料金!$B$9,ROUNDDOWN(($A80+I$6)*(約款料金!$C$17+$J$4)+約款料金!$C$16,0),ROUNDDOWN(($A80+I$6)*(約款料金!$B$17+$J$4)+約款料金!$B$16,0)))</f>
        <v>33166</v>
      </c>
      <c r="J80" s="360">
        <f>IF(($A80+J$6)&gt;約款料金!$C$9,ROUNDDOWN(($A80+J$6)*(約款料金!$D$17+$J$4)+約款料金!$D$16,0),IF(($A80+J$6)&gt;約款料金!$B$9,ROUNDDOWN(($A80+J$6)*(約款料金!$C$17+$J$4)+約款料金!$C$16,0),ROUNDDOWN(($A80+J$6)*(約款料金!$B$17+$J$4)+約款料金!$B$16,0)))</f>
        <v>33211</v>
      </c>
      <c r="K80" s="366">
        <f>IF(($A80+K$6)&gt;約款料金!$C$9,ROUNDDOWN(($A80+K$6)*(約款料金!$D$17+$J$4)+約款料金!$D$16,0),IF(($A80+K$6)&gt;約款料金!$B$9,ROUNDDOWN(($A80+K$6)*(約款料金!$C$17+$J$4)+約款料金!$C$16,0),ROUNDDOWN(($A80+K$6)*(約款料金!$B$17+$J$4)+約款料金!$B$16,0)))</f>
        <v>33256</v>
      </c>
    </row>
    <row r="81" spans="1:11">
      <c r="A81" s="380">
        <v>68</v>
      </c>
      <c r="B81" s="365">
        <f>IF(($A81+B$6)&gt;約款料金!$C$9,ROUNDDOWN(($A81+B$6)*(約款料金!$D$17+$J$4)+約款料金!$D$16,0),IF(($A81+B$6)&gt;約款料金!$B$9,ROUNDDOWN(($A81+B$6)*(約款料金!$C$17+$J$4)+約款料金!$C$16,0),ROUNDDOWN(($A81+B$6)*(約款料金!$B$17+$J$4)+約款料金!$B$16,0)))</f>
        <v>33301</v>
      </c>
      <c r="C81" s="360">
        <f>IF(($A81+C$6)&gt;約款料金!$C$9,ROUNDDOWN(($A81+C$6)*(約款料金!$D$17+$J$4)+約款料金!$D$16,0),IF(($A81+C$6)&gt;約款料金!$B$9,ROUNDDOWN(($A81+C$6)*(約款料金!$C$17+$J$4)+約款料金!$C$16,0),ROUNDDOWN(($A81+C$6)*(約款料金!$B$17+$J$4)+約款料金!$B$16,0)))</f>
        <v>33346</v>
      </c>
      <c r="D81" s="360">
        <f>IF(($A81+D$6)&gt;約款料金!$C$9,ROUNDDOWN(($A81+D$6)*(約款料金!$D$17+$J$4)+約款料金!$D$16,0),IF(($A81+D$6)&gt;約款料金!$B$9,ROUNDDOWN(($A81+D$6)*(約款料金!$C$17+$J$4)+約款料金!$C$16,0),ROUNDDOWN(($A81+D$6)*(約款料金!$B$17+$J$4)+約款料金!$B$16,0)))</f>
        <v>33390</v>
      </c>
      <c r="E81" s="360">
        <f>IF(($A81+E$6)&gt;約款料金!$C$9,ROUNDDOWN(($A81+E$6)*(約款料金!$D$17+$J$4)+約款料金!$D$16,0),IF(($A81+E$6)&gt;約款料金!$B$9,ROUNDDOWN(($A81+E$6)*(約款料金!$C$17+$J$4)+約款料金!$C$16,0),ROUNDDOWN(($A81+E$6)*(約款料金!$B$17+$J$4)+約款料金!$B$16,0)))</f>
        <v>33435</v>
      </c>
      <c r="F81" s="360">
        <f>IF(($A81+F$6)&gt;約款料金!$C$9,ROUNDDOWN(($A81+F$6)*(約款料金!$D$17+$J$4)+約款料金!$D$16,0),IF(($A81+F$6)&gt;約款料金!$B$9,ROUNDDOWN(($A81+F$6)*(約款料金!$C$17+$J$4)+約款料金!$C$16,0),ROUNDDOWN(($A81+F$6)*(約款料金!$B$17+$J$4)+約款料金!$B$16,0)))</f>
        <v>33480</v>
      </c>
      <c r="G81" s="360">
        <f>IF(($A81+G$6)&gt;約款料金!$C$9,ROUNDDOWN(($A81+G$6)*(約款料金!$D$17+$J$4)+約款料金!$D$16,0),IF(($A81+G$6)&gt;約款料金!$B$9,ROUNDDOWN(($A81+G$6)*(約款料金!$C$17+$J$4)+約款料金!$C$16,0),ROUNDDOWN(($A81+G$6)*(約款料金!$B$17+$J$4)+約款料金!$B$16,0)))</f>
        <v>33525</v>
      </c>
      <c r="H81" s="360">
        <f>IF(($A81+H$6)&gt;約款料金!$C$9,ROUNDDOWN(($A81+H$6)*(約款料金!$D$17+$J$4)+約款料金!$D$16,0),IF(($A81+H$6)&gt;約款料金!$B$9,ROUNDDOWN(($A81+H$6)*(約款料金!$C$17+$J$4)+約款料金!$C$16,0),ROUNDDOWN(($A81+H$6)*(約款料金!$B$17+$J$4)+約款料金!$B$16,0)))</f>
        <v>33570</v>
      </c>
      <c r="I81" s="360">
        <f>IF(($A81+I$6)&gt;約款料金!$C$9,ROUNDDOWN(($A81+I$6)*(約款料金!$D$17+$J$4)+約款料金!$D$16,0),IF(($A81+I$6)&gt;約款料金!$B$9,ROUNDDOWN(($A81+I$6)*(約款料金!$C$17+$J$4)+約款料金!$C$16,0),ROUNDDOWN(($A81+I$6)*(約款料金!$B$17+$J$4)+約款料金!$B$16,0)))</f>
        <v>33615</v>
      </c>
      <c r="J81" s="360">
        <f>IF(($A81+J$6)&gt;約款料金!$C$9,ROUNDDOWN(($A81+J$6)*(約款料金!$D$17+$J$4)+約款料金!$D$16,0),IF(($A81+J$6)&gt;約款料金!$B$9,ROUNDDOWN(($A81+J$6)*(約款料金!$C$17+$J$4)+約款料金!$C$16,0),ROUNDDOWN(($A81+J$6)*(約款料金!$B$17+$J$4)+約款料金!$B$16,0)))</f>
        <v>33660</v>
      </c>
      <c r="K81" s="366">
        <f>IF(($A81+K$6)&gt;約款料金!$C$9,ROUNDDOWN(($A81+K$6)*(約款料金!$D$17+$J$4)+約款料金!$D$16,0),IF(($A81+K$6)&gt;約款料金!$B$9,ROUNDDOWN(($A81+K$6)*(約款料金!$C$17+$J$4)+約款料金!$C$16,0),ROUNDDOWN(($A81+K$6)*(約款料金!$B$17+$J$4)+約款料金!$B$16,0)))</f>
        <v>33705</v>
      </c>
    </row>
    <row r="82" spans="1:11">
      <c r="A82" s="380">
        <v>69</v>
      </c>
      <c r="B82" s="365">
        <f>IF(($A82+B$6)&gt;約款料金!$C$9,ROUNDDOWN(($A82+B$6)*(約款料金!$D$17+$J$4)+約款料金!$D$16,0),IF(($A82+B$6)&gt;約款料金!$B$9,ROUNDDOWN(($A82+B$6)*(約款料金!$C$17+$J$4)+約款料金!$C$16,0),ROUNDDOWN(($A82+B$6)*(約款料金!$B$17+$J$4)+約款料金!$B$16,0)))</f>
        <v>33750</v>
      </c>
      <c r="C82" s="360">
        <f>IF(($A82+C$6)&gt;約款料金!$C$9,ROUNDDOWN(($A82+C$6)*(約款料金!$D$17+$J$4)+約款料金!$D$16,0),IF(($A82+C$6)&gt;約款料金!$B$9,ROUNDDOWN(($A82+C$6)*(約款料金!$C$17+$J$4)+約款料金!$C$16,0),ROUNDDOWN(($A82+C$6)*(約款料金!$B$17+$J$4)+約款料金!$B$16,0)))</f>
        <v>33795</v>
      </c>
      <c r="D82" s="360">
        <f>IF(($A82+D$6)&gt;約款料金!$C$9,ROUNDDOWN(($A82+D$6)*(約款料金!$D$17+$J$4)+約款料金!$D$16,0),IF(($A82+D$6)&gt;約款料金!$B$9,ROUNDDOWN(($A82+D$6)*(約款料金!$C$17+$J$4)+約款料金!$C$16,0),ROUNDDOWN(($A82+D$6)*(約款料金!$B$17+$J$4)+約款料金!$B$16,0)))</f>
        <v>33840</v>
      </c>
      <c r="E82" s="360">
        <f>IF(($A82+E$6)&gt;約款料金!$C$9,ROUNDDOWN(($A82+E$6)*(約款料金!$D$17+$J$4)+約款料金!$D$16,0),IF(($A82+E$6)&gt;約款料金!$B$9,ROUNDDOWN(($A82+E$6)*(約款料金!$C$17+$J$4)+約款料金!$C$16,0),ROUNDDOWN(($A82+E$6)*(約款料金!$B$17+$J$4)+約款料金!$B$16,0)))</f>
        <v>33884</v>
      </c>
      <c r="F82" s="360">
        <f>IF(($A82+F$6)&gt;約款料金!$C$9,ROUNDDOWN(($A82+F$6)*(約款料金!$D$17+$J$4)+約款料金!$D$16,0),IF(($A82+F$6)&gt;約款料金!$B$9,ROUNDDOWN(($A82+F$6)*(約款料金!$C$17+$J$4)+約款料金!$C$16,0),ROUNDDOWN(($A82+F$6)*(約款料金!$B$17+$J$4)+約款料金!$B$16,0)))</f>
        <v>33929</v>
      </c>
      <c r="G82" s="360">
        <f>IF(($A82+G$6)&gt;約款料金!$C$9,ROUNDDOWN(($A82+G$6)*(約款料金!$D$17+$J$4)+約款料金!$D$16,0),IF(($A82+G$6)&gt;約款料金!$B$9,ROUNDDOWN(($A82+G$6)*(約款料金!$C$17+$J$4)+約款料金!$C$16,0),ROUNDDOWN(($A82+G$6)*(約款料金!$B$17+$J$4)+約款料金!$B$16,0)))</f>
        <v>33974</v>
      </c>
      <c r="H82" s="360">
        <f>IF(($A82+H$6)&gt;約款料金!$C$9,ROUNDDOWN(($A82+H$6)*(約款料金!$D$17+$J$4)+約款料金!$D$16,0),IF(($A82+H$6)&gt;約款料金!$B$9,ROUNDDOWN(($A82+H$6)*(約款料金!$C$17+$J$4)+約款料金!$C$16,0),ROUNDDOWN(($A82+H$6)*(約款料金!$B$17+$J$4)+約款料金!$B$16,0)))</f>
        <v>34019</v>
      </c>
      <c r="I82" s="360">
        <f>IF(($A82+I$6)&gt;約款料金!$C$9,ROUNDDOWN(($A82+I$6)*(約款料金!$D$17+$J$4)+約款料金!$D$16,0),IF(($A82+I$6)&gt;約款料金!$B$9,ROUNDDOWN(($A82+I$6)*(約款料金!$C$17+$J$4)+約款料金!$C$16,0),ROUNDDOWN(($A82+I$6)*(約款料金!$B$17+$J$4)+約款料金!$B$16,0)))</f>
        <v>34064</v>
      </c>
      <c r="J82" s="360">
        <f>IF(($A82+J$6)&gt;約款料金!$C$9,ROUNDDOWN(($A82+J$6)*(約款料金!$D$17+$J$4)+約款料金!$D$16,0),IF(($A82+J$6)&gt;約款料金!$B$9,ROUNDDOWN(($A82+J$6)*(約款料金!$C$17+$J$4)+約款料金!$C$16,0),ROUNDDOWN(($A82+J$6)*(約款料金!$B$17+$J$4)+約款料金!$B$16,0)))</f>
        <v>34109</v>
      </c>
      <c r="K82" s="366">
        <f>IF(($A82+K$6)&gt;約款料金!$C$9,ROUNDDOWN(($A82+K$6)*(約款料金!$D$17+$J$4)+約款料金!$D$16,0),IF(($A82+K$6)&gt;約款料金!$B$9,ROUNDDOWN(($A82+K$6)*(約款料金!$C$17+$J$4)+約款料金!$C$16,0),ROUNDDOWN(($A82+K$6)*(約款料金!$B$17+$J$4)+約款料金!$B$16,0)))</f>
        <v>34154</v>
      </c>
    </row>
    <row r="83" spans="1:11">
      <c r="A83" s="382">
        <v>70</v>
      </c>
      <c r="B83" s="371">
        <f>IF(($A83+B$6)&gt;約款料金!$C$9,ROUNDDOWN(($A83+B$6)*(約款料金!$D$17+$J$4)+約款料金!$D$16,0),IF(($A83+B$6)&gt;約款料金!$B$9,ROUNDDOWN(($A83+B$6)*(約款料金!$C$17+$J$4)+約款料金!$C$16,0),ROUNDDOWN(($A83+B$6)*(約款料金!$B$17+$J$4)+約款料金!$B$16,0)))</f>
        <v>34199</v>
      </c>
      <c r="C83" s="372">
        <f>IF(($A83+C$6)&gt;約款料金!$C$9,ROUNDDOWN(($A83+C$6)*(約款料金!$D$17+$J$4)+約款料金!$D$16,0),IF(($A83+C$6)&gt;約款料金!$B$9,ROUNDDOWN(($A83+C$6)*(約款料金!$C$17+$J$4)+約款料金!$C$16,0),ROUNDDOWN(($A83+C$6)*(約款料金!$B$17+$J$4)+約款料金!$B$16,0)))</f>
        <v>34244</v>
      </c>
      <c r="D83" s="372">
        <f>IF(($A83+D$6)&gt;約款料金!$C$9,ROUNDDOWN(($A83+D$6)*(約款料金!$D$17+$J$4)+約款料金!$D$16,0),IF(($A83+D$6)&gt;約款料金!$B$9,ROUNDDOWN(($A83+D$6)*(約款料金!$C$17+$J$4)+約款料金!$C$16,0),ROUNDDOWN(($A83+D$6)*(約款料金!$B$17+$J$4)+約款料金!$B$16,0)))</f>
        <v>34289</v>
      </c>
      <c r="E83" s="372">
        <f>IF(($A83+E$6)&gt;約款料金!$C$9,ROUNDDOWN(($A83+E$6)*(約款料金!$D$17+$J$4)+約款料金!$D$16,0),IF(($A83+E$6)&gt;約款料金!$B$9,ROUNDDOWN(($A83+E$6)*(約款料金!$C$17+$J$4)+約款料金!$C$16,0),ROUNDDOWN(($A83+E$6)*(約款料金!$B$17+$J$4)+約款料金!$B$16,0)))</f>
        <v>34333</v>
      </c>
      <c r="F83" s="372">
        <f>IF(($A83+F$6)&gt;約款料金!$C$9,ROUNDDOWN(($A83+F$6)*(約款料金!$D$17+$J$4)+約款料金!$D$16,0),IF(($A83+F$6)&gt;約款料金!$B$9,ROUNDDOWN(($A83+F$6)*(約款料金!$C$17+$J$4)+約款料金!$C$16,0),ROUNDDOWN(($A83+F$6)*(約款料金!$B$17+$J$4)+約款料金!$B$16,0)))</f>
        <v>34378</v>
      </c>
      <c r="G83" s="372">
        <f>IF(($A83+G$6)&gt;約款料金!$C$9,ROUNDDOWN(($A83+G$6)*(約款料金!$D$17+$J$4)+約款料金!$D$16,0),IF(($A83+G$6)&gt;約款料金!$B$9,ROUNDDOWN(($A83+G$6)*(約款料金!$C$17+$J$4)+約款料金!$C$16,0),ROUNDDOWN(($A83+G$6)*(約款料金!$B$17+$J$4)+約款料金!$B$16,0)))</f>
        <v>34423</v>
      </c>
      <c r="H83" s="372">
        <f>IF(($A83+H$6)&gt;約款料金!$C$9,ROUNDDOWN(($A83+H$6)*(約款料金!$D$17+$J$4)+約款料金!$D$16,0),IF(($A83+H$6)&gt;約款料金!$B$9,ROUNDDOWN(($A83+H$6)*(約款料金!$C$17+$J$4)+約款料金!$C$16,0),ROUNDDOWN(($A83+H$6)*(約款料金!$B$17+$J$4)+約款料金!$B$16,0)))</f>
        <v>34468</v>
      </c>
      <c r="I83" s="372">
        <f>IF(($A83+I$6)&gt;約款料金!$C$9,ROUNDDOWN(($A83+I$6)*(約款料金!$D$17+$J$4)+約款料金!$D$16,0),IF(($A83+I$6)&gt;約款料金!$B$9,ROUNDDOWN(($A83+I$6)*(約款料金!$C$17+$J$4)+約款料金!$C$16,0),ROUNDDOWN(($A83+I$6)*(約款料金!$B$17+$J$4)+約款料金!$B$16,0)))</f>
        <v>34513</v>
      </c>
      <c r="J83" s="372">
        <f>IF(($A83+J$6)&gt;約款料金!$C$9,ROUNDDOWN(($A83+J$6)*(約款料金!$D$17+$J$4)+約款料金!$D$16,0),IF(($A83+J$6)&gt;約款料金!$B$9,ROUNDDOWN(($A83+J$6)*(約款料金!$C$17+$J$4)+約款料金!$C$16,0),ROUNDDOWN(($A83+J$6)*(約款料金!$B$17+$J$4)+約款料金!$B$16,0)))</f>
        <v>34558</v>
      </c>
      <c r="K83" s="373">
        <f>IF(($A83+K$6)&gt;約款料金!$C$9,ROUNDDOWN(($A83+K$6)*(約款料金!$D$17+$J$4)+約款料金!$D$16,0),IF(($A83+K$6)&gt;約款料金!$B$9,ROUNDDOWN(($A83+K$6)*(約款料金!$C$17+$J$4)+約款料金!$C$16,0),ROUNDDOWN(($A83+K$6)*(約款料金!$B$17+$J$4)+約款料金!$B$16,0)))</f>
        <v>34603</v>
      </c>
    </row>
    <row r="84" spans="1:11">
      <c r="A84" s="379">
        <v>71</v>
      </c>
      <c r="B84" s="365">
        <f>IF(($A84+B$6)&gt;約款料金!$C$9,ROUNDDOWN(($A84+B$6)*(約款料金!$D$17+$J$4)+約款料金!$D$16,0),IF(($A84+B$6)&gt;約款料金!$B$9,ROUNDDOWN(($A84+B$6)*(約款料金!$C$17+$J$4)+約款料金!$C$16,0),ROUNDDOWN(($A84+B$6)*(約款料金!$B$17+$J$4)+約款料金!$B$16,0)))</f>
        <v>34648</v>
      </c>
      <c r="C84" s="360">
        <f>IF(($A84+C$6)&gt;約款料金!$C$9,ROUNDDOWN(($A84+C$6)*(約款料金!$D$17+$J$4)+約款料金!$D$16,0),IF(($A84+C$6)&gt;約款料金!$B$9,ROUNDDOWN(($A84+C$6)*(約款料金!$C$17+$J$4)+約款料金!$C$16,0),ROUNDDOWN(($A84+C$6)*(約款料金!$B$17+$J$4)+約款料金!$B$16,0)))</f>
        <v>34693</v>
      </c>
      <c r="D84" s="360">
        <f>IF(($A84+D$6)&gt;約款料金!$C$9,ROUNDDOWN(($A84+D$6)*(約款料金!$D$17+$J$4)+約款料金!$D$16,0),IF(($A84+D$6)&gt;約款料金!$B$9,ROUNDDOWN(($A84+D$6)*(約款料金!$C$17+$J$4)+約款料金!$C$16,0),ROUNDDOWN(($A84+D$6)*(約款料金!$B$17+$J$4)+約款料金!$B$16,0)))</f>
        <v>34738</v>
      </c>
      <c r="E84" s="360">
        <f>IF(($A84+E$6)&gt;約款料金!$C$9,ROUNDDOWN(($A84+E$6)*(約款料金!$D$17+$J$4)+約款料金!$D$16,0),IF(($A84+E$6)&gt;約款料金!$B$9,ROUNDDOWN(($A84+E$6)*(約款料金!$C$17+$J$4)+約款料金!$C$16,0),ROUNDDOWN(($A84+E$6)*(約款料金!$B$17+$J$4)+約款料金!$B$16,0)))</f>
        <v>34782</v>
      </c>
      <c r="F84" s="360">
        <f>IF(($A84+F$6)&gt;約款料金!$C$9,ROUNDDOWN(($A84+F$6)*(約款料金!$D$17+$J$4)+約款料金!$D$16,0),IF(($A84+F$6)&gt;約款料金!$B$9,ROUNDDOWN(($A84+F$6)*(約款料金!$C$17+$J$4)+約款料金!$C$16,0),ROUNDDOWN(($A84+F$6)*(約款料金!$B$17+$J$4)+約款料金!$B$16,0)))</f>
        <v>34827</v>
      </c>
      <c r="G84" s="360">
        <f>IF(($A84+G$6)&gt;約款料金!$C$9,ROUNDDOWN(($A84+G$6)*(約款料金!$D$17+$J$4)+約款料金!$D$16,0),IF(($A84+G$6)&gt;約款料金!$B$9,ROUNDDOWN(($A84+G$6)*(約款料金!$C$17+$J$4)+約款料金!$C$16,0),ROUNDDOWN(($A84+G$6)*(約款料金!$B$17+$J$4)+約款料金!$B$16,0)))</f>
        <v>34872</v>
      </c>
      <c r="H84" s="360">
        <f>IF(($A84+H$6)&gt;約款料金!$C$9,ROUNDDOWN(($A84+H$6)*(約款料金!$D$17+$J$4)+約款料金!$D$16,0),IF(($A84+H$6)&gt;約款料金!$B$9,ROUNDDOWN(($A84+H$6)*(約款料金!$C$17+$J$4)+約款料金!$C$16,0),ROUNDDOWN(($A84+H$6)*(約款料金!$B$17+$J$4)+約款料金!$B$16,0)))</f>
        <v>34917</v>
      </c>
      <c r="I84" s="360">
        <f>IF(($A84+I$6)&gt;約款料金!$C$9,ROUNDDOWN(($A84+I$6)*(約款料金!$D$17+$J$4)+約款料金!$D$16,0),IF(($A84+I$6)&gt;約款料金!$B$9,ROUNDDOWN(($A84+I$6)*(約款料金!$C$17+$J$4)+約款料金!$C$16,0),ROUNDDOWN(($A84+I$6)*(約款料金!$B$17+$J$4)+約款料金!$B$16,0)))</f>
        <v>34962</v>
      </c>
      <c r="J84" s="360">
        <f>IF(($A84+J$6)&gt;約款料金!$C$9,ROUNDDOWN(($A84+J$6)*(約款料金!$D$17+$J$4)+約款料金!$D$16,0),IF(($A84+J$6)&gt;約款料金!$B$9,ROUNDDOWN(($A84+J$6)*(約款料金!$C$17+$J$4)+約款料金!$C$16,0),ROUNDDOWN(($A84+J$6)*(約款料金!$B$17+$J$4)+約款料金!$B$16,0)))</f>
        <v>35007</v>
      </c>
      <c r="K84" s="366">
        <f>IF(($A84+K$6)&gt;約款料金!$C$9,ROUNDDOWN(($A84+K$6)*(約款料金!$D$17+$J$4)+約款料金!$D$16,0),IF(($A84+K$6)&gt;約款料金!$B$9,ROUNDDOWN(($A84+K$6)*(約款料金!$C$17+$J$4)+約款料金!$C$16,0),ROUNDDOWN(($A84+K$6)*(約款料金!$B$17+$J$4)+約款料金!$B$16,0)))</f>
        <v>35052</v>
      </c>
    </row>
    <row r="85" spans="1:11">
      <c r="A85" s="380">
        <v>72</v>
      </c>
      <c r="B85" s="365">
        <f>IF(($A85+B$6)&gt;約款料金!$C$9,ROUNDDOWN(($A85+B$6)*(約款料金!$D$17+$J$4)+約款料金!$D$16,0),IF(($A85+B$6)&gt;約款料金!$B$9,ROUNDDOWN(($A85+B$6)*(約款料金!$C$17+$J$4)+約款料金!$C$16,0),ROUNDDOWN(($A85+B$6)*(約款料金!$B$17+$J$4)+約款料金!$B$16,0)))</f>
        <v>35097</v>
      </c>
      <c r="C85" s="360">
        <f>IF(($A85+C$6)&gt;約款料金!$C$9,ROUNDDOWN(($A85+C$6)*(約款料金!$D$17+$J$4)+約款料金!$D$16,0),IF(($A85+C$6)&gt;約款料金!$B$9,ROUNDDOWN(($A85+C$6)*(約款料金!$C$17+$J$4)+約款料金!$C$16,0),ROUNDDOWN(($A85+C$6)*(約款料金!$B$17+$J$4)+約款料金!$B$16,0)))</f>
        <v>35142</v>
      </c>
      <c r="D85" s="360">
        <f>IF(($A85+D$6)&gt;約款料金!$C$9,ROUNDDOWN(($A85+D$6)*(約款料金!$D$17+$J$4)+約款料金!$D$16,0),IF(($A85+D$6)&gt;約款料金!$B$9,ROUNDDOWN(($A85+D$6)*(約款料金!$C$17+$J$4)+約款料金!$C$16,0),ROUNDDOWN(($A85+D$6)*(約款料金!$B$17+$J$4)+約款料金!$B$16,0)))</f>
        <v>35187</v>
      </c>
      <c r="E85" s="360">
        <f>IF(($A85+E$6)&gt;約款料金!$C$9,ROUNDDOWN(($A85+E$6)*(約款料金!$D$17+$J$4)+約款料金!$D$16,0),IF(($A85+E$6)&gt;約款料金!$B$9,ROUNDDOWN(($A85+E$6)*(約款料金!$C$17+$J$4)+約款料金!$C$16,0),ROUNDDOWN(($A85+E$6)*(約款料金!$B$17+$J$4)+約款料金!$B$16,0)))</f>
        <v>35231</v>
      </c>
      <c r="F85" s="360">
        <f>IF(($A85+F$6)&gt;約款料金!$C$9,ROUNDDOWN(($A85+F$6)*(約款料金!$D$17+$J$4)+約款料金!$D$16,0),IF(($A85+F$6)&gt;約款料金!$B$9,ROUNDDOWN(($A85+F$6)*(約款料金!$C$17+$J$4)+約款料金!$C$16,0),ROUNDDOWN(($A85+F$6)*(約款料金!$B$17+$J$4)+約款料金!$B$16,0)))</f>
        <v>35276</v>
      </c>
      <c r="G85" s="360">
        <f>IF(($A85+G$6)&gt;約款料金!$C$9,ROUNDDOWN(($A85+G$6)*(約款料金!$D$17+$J$4)+約款料金!$D$16,0),IF(($A85+G$6)&gt;約款料金!$B$9,ROUNDDOWN(($A85+G$6)*(約款料金!$C$17+$J$4)+約款料金!$C$16,0),ROUNDDOWN(($A85+G$6)*(約款料金!$B$17+$J$4)+約款料金!$B$16,0)))</f>
        <v>35321</v>
      </c>
      <c r="H85" s="360">
        <f>IF(($A85+H$6)&gt;約款料金!$C$9,ROUNDDOWN(($A85+H$6)*(約款料金!$D$17+$J$4)+約款料金!$D$16,0),IF(($A85+H$6)&gt;約款料金!$B$9,ROUNDDOWN(($A85+H$6)*(約款料金!$C$17+$J$4)+約款料金!$C$16,0),ROUNDDOWN(($A85+H$6)*(約款料金!$B$17+$J$4)+約款料金!$B$16,0)))</f>
        <v>35366</v>
      </c>
      <c r="I85" s="360">
        <f>IF(($A85+I$6)&gt;約款料金!$C$9,ROUNDDOWN(($A85+I$6)*(約款料金!$D$17+$J$4)+約款料金!$D$16,0),IF(($A85+I$6)&gt;約款料金!$B$9,ROUNDDOWN(($A85+I$6)*(約款料金!$C$17+$J$4)+約款料金!$C$16,0),ROUNDDOWN(($A85+I$6)*(約款料金!$B$17+$J$4)+約款料金!$B$16,0)))</f>
        <v>35411</v>
      </c>
      <c r="J85" s="360">
        <f>IF(($A85+J$6)&gt;約款料金!$C$9,ROUNDDOWN(($A85+J$6)*(約款料金!$D$17+$J$4)+約款料金!$D$16,0),IF(($A85+J$6)&gt;約款料金!$B$9,ROUNDDOWN(($A85+J$6)*(約款料金!$C$17+$J$4)+約款料金!$C$16,0),ROUNDDOWN(($A85+J$6)*(約款料金!$B$17+$J$4)+約款料金!$B$16,0)))</f>
        <v>35456</v>
      </c>
      <c r="K85" s="366">
        <f>IF(($A85+K$6)&gt;約款料金!$C$9,ROUNDDOWN(($A85+K$6)*(約款料金!$D$17+$J$4)+約款料金!$D$16,0),IF(($A85+K$6)&gt;約款料金!$B$9,ROUNDDOWN(($A85+K$6)*(約款料金!$C$17+$J$4)+約款料金!$C$16,0),ROUNDDOWN(($A85+K$6)*(約款料金!$B$17+$J$4)+約款料金!$B$16,0)))</f>
        <v>35501</v>
      </c>
    </row>
    <row r="86" spans="1:11">
      <c r="A86" s="380">
        <v>73</v>
      </c>
      <c r="B86" s="365">
        <f>IF(($A86+B$6)&gt;約款料金!$C$9,ROUNDDOWN(($A86+B$6)*(約款料金!$D$17+$J$4)+約款料金!$D$16,0),IF(($A86+B$6)&gt;約款料金!$B$9,ROUNDDOWN(($A86+B$6)*(約款料金!$C$17+$J$4)+約款料金!$C$16,0),ROUNDDOWN(($A86+B$6)*(約款料金!$B$17+$J$4)+約款料金!$B$16,0)))</f>
        <v>35546</v>
      </c>
      <c r="C86" s="360">
        <f>IF(($A86+C$6)&gt;約款料金!$C$9,ROUNDDOWN(($A86+C$6)*(約款料金!$D$17+$J$4)+約款料金!$D$16,0),IF(($A86+C$6)&gt;約款料金!$B$9,ROUNDDOWN(($A86+C$6)*(約款料金!$C$17+$J$4)+約款料金!$C$16,0),ROUNDDOWN(($A86+C$6)*(約款料金!$B$17+$J$4)+約款料金!$B$16,0)))</f>
        <v>35591</v>
      </c>
      <c r="D86" s="360">
        <f>IF(($A86+D$6)&gt;約款料金!$C$9,ROUNDDOWN(($A86+D$6)*(約款料金!$D$17+$J$4)+約款料金!$D$16,0),IF(($A86+D$6)&gt;約款料金!$B$9,ROUNDDOWN(($A86+D$6)*(約款料金!$C$17+$J$4)+約款料金!$C$16,0),ROUNDDOWN(($A86+D$6)*(約款料金!$B$17+$J$4)+約款料金!$B$16,0)))</f>
        <v>35636</v>
      </c>
      <c r="E86" s="360">
        <f>IF(($A86+E$6)&gt;約款料金!$C$9,ROUNDDOWN(($A86+E$6)*(約款料金!$D$17+$J$4)+約款料金!$D$16,0),IF(($A86+E$6)&gt;約款料金!$B$9,ROUNDDOWN(($A86+E$6)*(約款料金!$C$17+$J$4)+約款料金!$C$16,0),ROUNDDOWN(($A86+E$6)*(約款料金!$B$17+$J$4)+約款料金!$B$16,0)))</f>
        <v>35680</v>
      </c>
      <c r="F86" s="360">
        <f>IF(($A86+F$6)&gt;約款料金!$C$9,ROUNDDOWN(($A86+F$6)*(約款料金!$D$17+$J$4)+約款料金!$D$16,0),IF(($A86+F$6)&gt;約款料金!$B$9,ROUNDDOWN(($A86+F$6)*(約款料金!$C$17+$J$4)+約款料金!$C$16,0),ROUNDDOWN(($A86+F$6)*(約款料金!$B$17+$J$4)+約款料金!$B$16,0)))</f>
        <v>35725</v>
      </c>
      <c r="G86" s="360">
        <f>IF(($A86+G$6)&gt;約款料金!$C$9,ROUNDDOWN(($A86+G$6)*(約款料金!$D$17+$J$4)+約款料金!$D$16,0),IF(($A86+G$6)&gt;約款料金!$B$9,ROUNDDOWN(($A86+G$6)*(約款料金!$C$17+$J$4)+約款料金!$C$16,0),ROUNDDOWN(($A86+G$6)*(約款料金!$B$17+$J$4)+約款料金!$B$16,0)))</f>
        <v>35770</v>
      </c>
      <c r="H86" s="360">
        <f>IF(($A86+H$6)&gt;約款料金!$C$9,ROUNDDOWN(($A86+H$6)*(約款料金!$D$17+$J$4)+約款料金!$D$16,0),IF(($A86+H$6)&gt;約款料金!$B$9,ROUNDDOWN(($A86+H$6)*(約款料金!$C$17+$J$4)+約款料金!$C$16,0),ROUNDDOWN(($A86+H$6)*(約款料金!$B$17+$J$4)+約款料金!$B$16,0)))</f>
        <v>35815</v>
      </c>
      <c r="I86" s="360">
        <f>IF(($A86+I$6)&gt;約款料金!$C$9,ROUNDDOWN(($A86+I$6)*(約款料金!$D$17+$J$4)+約款料金!$D$16,0),IF(($A86+I$6)&gt;約款料金!$B$9,ROUNDDOWN(($A86+I$6)*(約款料金!$C$17+$J$4)+約款料金!$C$16,0),ROUNDDOWN(($A86+I$6)*(約款料金!$B$17+$J$4)+約款料金!$B$16,0)))</f>
        <v>35860</v>
      </c>
      <c r="J86" s="360">
        <f>IF(($A86+J$6)&gt;約款料金!$C$9,ROUNDDOWN(($A86+J$6)*(約款料金!$D$17+$J$4)+約款料金!$D$16,0),IF(($A86+J$6)&gt;約款料金!$B$9,ROUNDDOWN(($A86+J$6)*(約款料金!$C$17+$J$4)+約款料金!$C$16,0),ROUNDDOWN(($A86+J$6)*(約款料金!$B$17+$J$4)+約款料金!$B$16,0)))</f>
        <v>35905</v>
      </c>
      <c r="K86" s="366">
        <f>IF(($A86+K$6)&gt;約款料金!$C$9,ROUNDDOWN(($A86+K$6)*(約款料金!$D$17+$J$4)+約款料金!$D$16,0),IF(($A86+K$6)&gt;約款料金!$B$9,ROUNDDOWN(($A86+K$6)*(約款料金!$C$17+$J$4)+約款料金!$C$16,0),ROUNDDOWN(($A86+K$6)*(約款料金!$B$17+$J$4)+約款料金!$B$16,0)))</f>
        <v>35950</v>
      </c>
    </row>
    <row r="87" spans="1:11">
      <c r="A87" s="380">
        <v>74</v>
      </c>
      <c r="B87" s="365">
        <f>IF(($A87+B$6)&gt;約款料金!$C$9,ROUNDDOWN(($A87+B$6)*(約款料金!$D$17+$J$4)+約款料金!$D$16,0),IF(($A87+B$6)&gt;約款料金!$B$9,ROUNDDOWN(($A87+B$6)*(約款料金!$C$17+$J$4)+約款料金!$C$16,0),ROUNDDOWN(($A87+B$6)*(約款料金!$B$17+$J$4)+約款料金!$B$16,0)))</f>
        <v>35995</v>
      </c>
      <c r="C87" s="360">
        <f>IF(($A87+C$6)&gt;約款料金!$C$9,ROUNDDOWN(($A87+C$6)*(約款料金!$D$17+$J$4)+約款料金!$D$16,0),IF(($A87+C$6)&gt;約款料金!$B$9,ROUNDDOWN(($A87+C$6)*(約款料金!$C$17+$J$4)+約款料金!$C$16,0),ROUNDDOWN(($A87+C$6)*(約款料金!$B$17+$J$4)+約款料金!$B$16,0)))</f>
        <v>36040</v>
      </c>
      <c r="D87" s="360">
        <f>IF(($A87+D$6)&gt;約款料金!$C$9,ROUNDDOWN(($A87+D$6)*(約款料金!$D$17+$J$4)+約款料金!$D$16,0),IF(($A87+D$6)&gt;約款料金!$B$9,ROUNDDOWN(($A87+D$6)*(約款料金!$C$17+$J$4)+約款料金!$C$16,0),ROUNDDOWN(($A87+D$6)*(約款料金!$B$17+$J$4)+約款料金!$B$16,0)))</f>
        <v>36085</v>
      </c>
      <c r="E87" s="360">
        <f>IF(($A87+E$6)&gt;約款料金!$C$9,ROUNDDOWN(($A87+E$6)*(約款料金!$D$17+$J$4)+約款料金!$D$16,0),IF(($A87+E$6)&gt;約款料金!$B$9,ROUNDDOWN(($A87+E$6)*(約款料金!$C$17+$J$4)+約款料金!$C$16,0),ROUNDDOWN(($A87+E$6)*(約款料金!$B$17+$J$4)+約款料金!$B$16,0)))</f>
        <v>36130</v>
      </c>
      <c r="F87" s="360">
        <f>IF(($A87+F$6)&gt;約款料金!$C$9,ROUNDDOWN(($A87+F$6)*(約款料金!$D$17+$J$4)+約款料金!$D$16,0),IF(($A87+F$6)&gt;約款料金!$B$9,ROUNDDOWN(($A87+F$6)*(約款料金!$C$17+$J$4)+約款料金!$C$16,0),ROUNDDOWN(($A87+F$6)*(約款料金!$B$17+$J$4)+約款料金!$B$16,0)))</f>
        <v>36174</v>
      </c>
      <c r="G87" s="360">
        <f>IF(($A87+G$6)&gt;約款料金!$C$9,ROUNDDOWN(($A87+G$6)*(約款料金!$D$17+$J$4)+約款料金!$D$16,0),IF(($A87+G$6)&gt;約款料金!$B$9,ROUNDDOWN(($A87+G$6)*(約款料金!$C$17+$J$4)+約款料金!$C$16,0),ROUNDDOWN(($A87+G$6)*(約款料金!$B$17+$J$4)+約款料金!$B$16,0)))</f>
        <v>36219</v>
      </c>
      <c r="H87" s="360">
        <f>IF(($A87+H$6)&gt;約款料金!$C$9,ROUNDDOWN(($A87+H$6)*(約款料金!$D$17+$J$4)+約款料金!$D$16,0),IF(($A87+H$6)&gt;約款料金!$B$9,ROUNDDOWN(($A87+H$6)*(約款料金!$C$17+$J$4)+約款料金!$C$16,0),ROUNDDOWN(($A87+H$6)*(約款料金!$B$17+$J$4)+約款料金!$B$16,0)))</f>
        <v>36264</v>
      </c>
      <c r="I87" s="360">
        <f>IF(($A87+I$6)&gt;約款料金!$C$9,ROUNDDOWN(($A87+I$6)*(約款料金!$D$17+$J$4)+約款料金!$D$16,0),IF(($A87+I$6)&gt;約款料金!$B$9,ROUNDDOWN(($A87+I$6)*(約款料金!$C$17+$J$4)+約款料金!$C$16,0),ROUNDDOWN(($A87+I$6)*(約款料金!$B$17+$J$4)+約款料金!$B$16,0)))</f>
        <v>36309</v>
      </c>
      <c r="J87" s="360">
        <f>IF(($A87+J$6)&gt;約款料金!$C$9,ROUNDDOWN(($A87+J$6)*(約款料金!$D$17+$J$4)+約款料金!$D$16,0),IF(($A87+J$6)&gt;約款料金!$B$9,ROUNDDOWN(($A87+J$6)*(約款料金!$C$17+$J$4)+約款料金!$C$16,0),ROUNDDOWN(($A87+J$6)*(約款料金!$B$17+$J$4)+約款料金!$B$16,0)))</f>
        <v>36354</v>
      </c>
      <c r="K87" s="366">
        <f>IF(($A87+K$6)&gt;約款料金!$C$9,ROUNDDOWN(($A87+K$6)*(約款料金!$D$17+$J$4)+約款料金!$D$16,0),IF(($A87+K$6)&gt;約款料金!$B$9,ROUNDDOWN(($A87+K$6)*(約款料金!$C$17+$J$4)+約款料金!$C$16,0),ROUNDDOWN(($A87+K$6)*(約款料金!$B$17+$J$4)+約款料金!$B$16,0)))</f>
        <v>36399</v>
      </c>
    </row>
    <row r="88" spans="1:11">
      <c r="A88" s="382">
        <v>75</v>
      </c>
      <c r="B88" s="371">
        <f>IF(($A88+B$6)&gt;約款料金!$C$9,ROUNDDOWN(($A88+B$6)*(約款料金!$D$17+$J$4)+約款料金!$D$16,0),IF(($A88+B$6)&gt;約款料金!$B$9,ROUNDDOWN(($A88+B$6)*(約款料金!$C$17+$J$4)+約款料金!$C$16,0),ROUNDDOWN(($A88+B$6)*(約款料金!$B$17+$J$4)+約款料金!$B$16,0)))</f>
        <v>36444</v>
      </c>
      <c r="C88" s="372">
        <f>IF(($A88+C$6)&gt;約款料金!$C$9,ROUNDDOWN(($A88+C$6)*(約款料金!$D$17+$J$4)+約款料金!$D$16,0),IF(($A88+C$6)&gt;約款料金!$B$9,ROUNDDOWN(($A88+C$6)*(約款料金!$C$17+$J$4)+約款料金!$C$16,0),ROUNDDOWN(($A88+C$6)*(約款料金!$B$17+$J$4)+約款料金!$B$16,0)))</f>
        <v>36489</v>
      </c>
      <c r="D88" s="372">
        <f>IF(($A88+D$6)&gt;約款料金!$C$9,ROUNDDOWN(($A88+D$6)*(約款料金!$D$17+$J$4)+約款料金!$D$16,0),IF(($A88+D$6)&gt;約款料金!$B$9,ROUNDDOWN(($A88+D$6)*(約款料金!$C$17+$J$4)+約款料金!$C$16,0),ROUNDDOWN(($A88+D$6)*(約款料金!$B$17+$J$4)+約款料金!$B$16,0)))</f>
        <v>36534</v>
      </c>
      <c r="E88" s="372">
        <f>IF(($A88+E$6)&gt;約款料金!$C$9,ROUNDDOWN(($A88+E$6)*(約款料金!$D$17+$J$4)+約款料金!$D$16,0),IF(($A88+E$6)&gt;約款料金!$B$9,ROUNDDOWN(($A88+E$6)*(約款料金!$C$17+$J$4)+約款料金!$C$16,0),ROUNDDOWN(($A88+E$6)*(約款料金!$B$17+$J$4)+約款料金!$B$16,0)))</f>
        <v>36579</v>
      </c>
      <c r="F88" s="372">
        <f>IF(($A88+F$6)&gt;約款料金!$C$9,ROUNDDOWN(($A88+F$6)*(約款料金!$D$17+$J$4)+約款料金!$D$16,0),IF(($A88+F$6)&gt;約款料金!$B$9,ROUNDDOWN(($A88+F$6)*(約款料金!$C$17+$J$4)+約款料金!$C$16,0),ROUNDDOWN(($A88+F$6)*(約款料金!$B$17+$J$4)+約款料金!$B$16,0)))</f>
        <v>36623</v>
      </c>
      <c r="G88" s="372">
        <f>IF(($A88+G$6)&gt;約款料金!$C$9,ROUNDDOWN(($A88+G$6)*(約款料金!$D$17+$J$4)+約款料金!$D$16,0),IF(($A88+G$6)&gt;約款料金!$B$9,ROUNDDOWN(($A88+G$6)*(約款料金!$C$17+$J$4)+約款料金!$C$16,0),ROUNDDOWN(($A88+G$6)*(約款料金!$B$17+$J$4)+約款料金!$B$16,0)))</f>
        <v>36668</v>
      </c>
      <c r="H88" s="372">
        <f>IF(($A88+H$6)&gt;約款料金!$C$9,ROUNDDOWN(($A88+H$6)*(約款料金!$D$17+$J$4)+約款料金!$D$16,0),IF(($A88+H$6)&gt;約款料金!$B$9,ROUNDDOWN(($A88+H$6)*(約款料金!$C$17+$J$4)+約款料金!$C$16,0),ROUNDDOWN(($A88+H$6)*(約款料金!$B$17+$J$4)+約款料金!$B$16,0)))</f>
        <v>36713</v>
      </c>
      <c r="I88" s="372">
        <f>IF(($A88+I$6)&gt;約款料金!$C$9,ROUNDDOWN(($A88+I$6)*(約款料金!$D$17+$J$4)+約款料金!$D$16,0),IF(($A88+I$6)&gt;約款料金!$B$9,ROUNDDOWN(($A88+I$6)*(約款料金!$C$17+$J$4)+約款料金!$C$16,0),ROUNDDOWN(($A88+I$6)*(約款料金!$B$17+$J$4)+約款料金!$B$16,0)))</f>
        <v>36758</v>
      </c>
      <c r="J88" s="372">
        <f>IF(($A88+J$6)&gt;約款料金!$C$9,ROUNDDOWN(($A88+J$6)*(約款料金!$D$17+$J$4)+約款料金!$D$16,0),IF(($A88+J$6)&gt;約款料金!$B$9,ROUNDDOWN(($A88+J$6)*(約款料金!$C$17+$J$4)+約款料金!$C$16,0),ROUNDDOWN(($A88+J$6)*(約款料金!$B$17+$J$4)+約款料金!$B$16,0)))</f>
        <v>36803</v>
      </c>
      <c r="K88" s="373">
        <f>IF(($A88+K$6)&gt;約款料金!$C$9,ROUNDDOWN(($A88+K$6)*(約款料金!$D$17+$J$4)+約款料金!$D$16,0),IF(($A88+K$6)&gt;約款料金!$B$9,ROUNDDOWN(($A88+K$6)*(約款料金!$C$17+$J$4)+約款料金!$C$16,0),ROUNDDOWN(($A88+K$6)*(約款料金!$B$17+$J$4)+約款料金!$B$16,0)))</f>
        <v>36848</v>
      </c>
    </row>
    <row r="89" spans="1:11">
      <c r="A89" s="379">
        <v>76</v>
      </c>
      <c r="B89" s="365">
        <f>IF(($A89+B$6)&gt;約款料金!$C$9,ROUNDDOWN(($A89+B$6)*(約款料金!$D$17+$J$4)+約款料金!$D$16,0),IF(($A89+B$6)&gt;約款料金!$B$9,ROUNDDOWN(($A89+B$6)*(約款料金!$C$17+$J$4)+約款料金!$C$16,0),ROUNDDOWN(($A89+B$6)*(約款料金!$B$17+$J$4)+約款料金!$B$16,0)))</f>
        <v>36893</v>
      </c>
      <c r="C89" s="360">
        <f>IF(($A89+C$6)&gt;約款料金!$C$9,ROUNDDOWN(($A89+C$6)*(約款料金!$D$17+$J$4)+約款料金!$D$16,0),IF(($A89+C$6)&gt;約款料金!$B$9,ROUNDDOWN(($A89+C$6)*(約款料金!$C$17+$J$4)+約款料金!$C$16,0),ROUNDDOWN(($A89+C$6)*(約款料金!$B$17+$J$4)+約款料金!$B$16,0)))</f>
        <v>36938</v>
      </c>
      <c r="D89" s="360">
        <f>IF(($A89+D$6)&gt;約款料金!$C$9,ROUNDDOWN(($A89+D$6)*(約款料金!$D$17+$J$4)+約款料金!$D$16,0),IF(($A89+D$6)&gt;約款料金!$B$9,ROUNDDOWN(($A89+D$6)*(約款料金!$C$17+$J$4)+約款料金!$C$16,0),ROUNDDOWN(($A89+D$6)*(約款料金!$B$17+$J$4)+約款料金!$B$16,0)))</f>
        <v>36983</v>
      </c>
      <c r="E89" s="360">
        <f>IF(($A89+E$6)&gt;約款料金!$C$9,ROUNDDOWN(($A89+E$6)*(約款料金!$D$17+$J$4)+約款料金!$D$16,0),IF(($A89+E$6)&gt;約款料金!$B$9,ROUNDDOWN(($A89+E$6)*(約款料金!$C$17+$J$4)+約款料金!$C$16,0),ROUNDDOWN(($A89+E$6)*(約款料金!$B$17+$J$4)+約款料金!$B$16,0)))</f>
        <v>37028</v>
      </c>
      <c r="F89" s="360">
        <f>IF(($A89+F$6)&gt;約款料金!$C$9,ROUNDDOWN(($A89+F$6)*(約款料金!$D$17+$J$4)+約款料金!$D$16,0),IF(($A89+F$6)&gt;約款料金!$B$9,ROUNDDOWN(($A89+F$6)*(約款料金!$C$17+$J$4)+約款料金!$C$16,0),ROUNDDOWN(($A89+F$6)*(約款料金!$B$17+$J$4)+約款料金!$B$16,0)))</f>
        <v>37072</v>
      </c>
      <c r="G89" s="360">
        <f>IF(($A89+G$6)&gt;約款料金!$C$9,ROUNDDOWN(($A89+G$6)*(約款料金!$D$17+$J$4)+約款料金!$D$16,0),IF(($A89+G$6)&gt;約款料金!$B$9,ROUNDDOWN(($A89+G$6)*(約款料金!$C$17+$J$4)+約款料金!$C$16,0),ROUNDDOWN(($A89+G$6)*(約款料金!$B$17+$J$4)+約款料金!$B$16,0)))</f>
        <v>37117</v>
      </c>
      <c r="H89" s="360">
        <f>IF(($A89+H$6)&gt;約款料金!$C$9,ROUNDDOWN(($A89+H$6)*(約款料金!$D$17+$J$4)+約款料金!$D$16,0),IF(($A89+H$6)&gt;約款料金!$B$9,ROUNDDOWN(($A89+H$6)*(約款料金!$C$17+$J$4)+約款料金!$C$16,0),ROUNDDOWN(($A89+H$6)*(約款料金!$B$17+$J$4)+約款料金!$B$16,0)))</f>
        <v>37162</v>
      </c>
      <c r="I89" s="360">
        <f>IF(($A89+I$6)&gt;約款料金!$C$9,ROUNDDOWN(($A89+I$6)*(約款料金!$D$17+$J$4)+約款料金!$D$16,0),IF(($A89+I$6)&gt;約款料金!$B$9,ROUNDDOWN(($A89+I$6)*(約款料金!$C$17+$J$4)+約款料金!$C$16,0),ROUNDDOWN(($A89+I$6)*(約款料金!$B$17+$J$4)+約款料金!$B$16,0)))</f>
        <v>37207</v>
      </c>
      <c r="J89" s="360">
        <f>IF(($A89+J$6)&gt;約款料金!$C$9,ROUNDDOWN(($A89+J$6)*(約款料金!$D$17+$J$4)+約款料金!$D$16,0),IF(($A89+J$6)&gt;約款料金!$B$9,ROUNDDOWN(($A89+J$6)*(約款料金!$C$17+$J$4)+約款料金!$C$16,0),ROUNDDOWN(($A89+J$6)*(約款料金!$B$17+$J$4)+約款料金!$B$16,0)))</f>
        <v>37252</v>
      </c>
      <c r="K89" s="366">
        <f>IF(($A89+K$6)&gt;約款料金!$C$9,ROUNDDOWN(($A89+K$6)*(約款料金!$D$17+$J$4)+約款料金!$D$16,0),IF(($A89+K$6)&gt;約款料金!$B$9,ROUNDDOWN(($A89+K$6)*(約款料金!$C$17+$J$4)+約款料金!$C$16,0),ROUNDDOWN(($A89+K$6)*(約款料金!$B$17+$J$4)+約款料金!$B$16,0)))</f>
        <v>37297</v>
      </c>
    </row>
    <row r="90" spans="1:11">
      <c r="A90" s="380">
        <v>77</v>
      </c>
      <c r="B90" s="365">
        <f>IF(($A90+B$6)&gt;約款料金!$C$9,ROUNDDOWN(($A90+B$6)*(約款料金!$D$17+$J$4)+約款料金!$D$16,0),IF(($A90+B$6)&gt;約款料金!$B$9,ROUNDDOWN(($A90+B$6)*(約款料金!$C$17+$J$4)+約款料金!$C$16,0),ROUNDDOWN(($A90+B$6)*(約款料金!$B$17+$J$4)+約款料金!$B$16,0)))</f>
        <v>37342</v>
      </c>
      <c r="C90" s="360">
        <f>IF(($A90+C$6)&gt;約款料金!$C$9,ROUNDDOWN(($A90+C$6)*(約款料金!$D$17+$J$4)+約款料金!$D$16,0),IF(($A90+C$6)&gt;約款料金!$B$9,ROUNDDOWN(($A90+C$6)*(約款料金!$C$17+$J$4)+約款料金!$C$16,0),ROUNDDOWN(($A90+C$6)*(約款料金!$B$17+$J$4)+約款料金!$B$16,0)))</f>
        <v>37387</v>
      </c>
      <c r="D90" s="360">
        <f>IF(($A90+D$6)&gt;約款料金!$C$9,ROUNDDOWN(($A90+D$6)*(約款料金!$D$17+$J$4)+約款料金!$D$16,0),IF(($A90+D$6)&gt;約款料金!$B$9,ROUNDDOWN(($A90+D$6)*(約款料金!$C$17+$J$4)+約款料金!$C$16,0),ROUNDDOWN(($A90+D$6)*(約款料金!$B$17+$J$4)+約款料金!$B$16,0)))</f>
        <v>37432</v>
      </c>
      <c r="E90" s="360">
        <f>IF(($A90+E$6)&gt;約款料金!$C$9,ROUNDDOWN(($A90+E$6)*(約款料金!$D$17+$J$4)+約款料金!$D$16,0),IF(($A90+E$6)&gt;約款料金!$B$9,ROUNDDOWN(($A90+E$6)*(約款料金!$C$17+$J$4)+約款料金!$C$16,0),ROUNDDOWN(($A90+E$6)*(約款料金!$B$17+$J$4)+約款料金!$B$16,0)))</f>
        <v>37477</v>
      </c>
      <c r="F90" s="360">
        <f>IF(($A90+F$6)&gt;約款料金!$C$9,ROUNDDOWN(($A90+F$6)*(約款料金!$D$17+$J$4)+約款料金!$D$16,0),IF(($A90+F$6)&gt;約款料金!$B$9,ROUNDDOWN(($A90+F$6)*(約款料金!$C$17+$J$4)+約款料金!$C$16,0),ROUNDDOWN(($A90+F$6)*(約款料金!$B$17+$J$4)+約款料金!$B$16,0)))</f>
        <v>37521</v>
      </c>
      <c r="G90" s="360">
        <f>IF(($A90+G$6)&gt;約款料金!$C$9,ROUNDDOWN(($A90+G$6)*(約款料金!$D$17+$J$4)+約款料金!$D$16,0),IF(($A90+G$6)&gt;約款料金!$B$9,ROUNDDOWN(($A90+G$6)*(約款料金!$C$17+$J$4)+約款料金!$C$16,0),ROUNDDOWN(($A90+G$6)*(約款料金!$B$17+$J$4)+約款料金!$B$16,0)))</f>
        <v>37566</v>
      </c>
      <c r="H90" s="360">
        <f>IF(($A90+H$6)&gt;約款料金!$C$9,ROUNDDOWN(($A90+H$6)*(約款料金!$D$17+$J$4)+約款料金!$D$16,0),IF(($A90+H$6)&gt;約款料金!$B$9,ROUNDDOWN(($A90+H$6)*(約款料金!$C$17+$J$4)+約款料金!$C$16,0),ROUNDDOWN(($A90+H$6)*(約款料金!$B$17+$J$4)+約款料金!$B$16,0)))</f>
        <v>37611</v>
      </c>
      <c r="I90" s="360">
        <f>IF(($A90+I$6)&gt;約款料金!$C$9,ROUNDDOWN(($A90+I$6)*(約款料金!$D$17+$J$4)+約款料金!$D$16,0),IF(($A90+I$6)&gt;約款料金!$B$9,ROUNDDOWN(($A90+I$6)*(約款料金!$C$17+$J$4)+約款料金!$C$16,0),ROUNDDOWN(($A90+I$6)*(約款料金!$B$17+$J$4)+約款料金!$B$16,0)))</f>
        <v>37656</v>
      </c>
      <c r="J90" s="360">
        <f>IF(($A90+J$6)&gt;約款料金!$C$9,ROUNDDOWN(($A90+J$6)*(約款料金!$D$17+$J$4)+約款料金!$D$16,0),IF(($A90+J$6)&gt;約款料金!$B$9,ROUNDDOWN(($A90+J$6)*(約款料金!$C$17+$J$4)+約款料金!$C$16,0),ROUNDDOWN(($A90+J$6)*(約款料金!$B$17+$J$4)+約款料金!$B$16,0)))</f>
        <v>37701</v>
      </c>
      <c r="K90" s="366">
        <f>IF(($A90+K$6)&gt;約款料金!$C$9,ROUNDDOWN(($A90+K$6)*(約款料金!$D$17+$J$4)+約款料金!$D$16,0),IF(($A90+K$6)&gt;約款料金!$B$9,ROUNDDOWN(($A90+K$6)*(約款料金!$C$17+$J$4)+約款料金!$C$16,0),ROUNDDOWN(($A90+K$6)*(約款料金!$B$17+$J$4)+約款料金!$B$16,0)))</f>
        <v>37746</v>
      </c>
    </row>
    <row r="91" spans="1:11">
      <c r="A91" s="380">
        <v>78</v>
      </c>
      <c r="B91" s="365">
        <f>IF(($A91+B$6)&gt;約款料金!$C$9,ROUNDDOWN(($A91+B$6)*(約款料金!$D$17+$J$4)+約款料金!$D$16,0),IF(($A91+B$6)&gt;約款料金!$B$9,ROUNDDOWN(($A91+B$6)*(約款料金!$C$17+$J$4)+約款料金!$C$16,0),ROUNDDOWN(($A91+B$6)*(約款料金!$B$17+$J$4)+約款料金!$B$16,0)))</f>
        <v>37791</v>
      </c>
      <c r="C91" s="360">
        <f>IF(($A91+C$6)&gt;約款料金!$C$9,ROUNDDOWN(($A91+C$6)*(約款料金!$D$17+$J$4)+約款料金!$D$16,0),IF(($A91+C$6)&gt;約款料金!$B$9,ROUNDDOWN(($A91+C$6)*(約款料金!$C$17+$J$4)+約款料金!$C$16,0),ROUNDDOWN(($A91+C$6)*(約款料金!$B$17+$J$4)+約款料金!$B$16,0)))</f>
        <v>37836</v>
      </c>
      <c r="D91" s="360">
        <f>IF(($A91+D$6)&gt;約款料金!$C$9,ROUNDDOWN(($A91+D$6)*(約款料金!$D$17+$J$4)+約款料金!$D$16,0),IF(($A91+D$6)&gt;約款料金!$B$9,ROUNDDOWN(($A91+D$6)*(約款料金!$C$17+$J$4)+約款料金!$C$16,0),ROUNDDOWN(($A91+D$6)*(約款料金!$B$17+$J$4)+約款料金!$B$16,0)))</f>
        <v>37881</v>
      </c>
      <c r="E91" s="360">
        <f>IF(($A91+E$6)&gt;約款料金!$C$9,ROUNDDOWN(($A91+E$6)*(約款料金!$D$17+$J$4)+約款料金!$D$16,0),IF(($A91+E$6)&gt;約款料金!$B$9,ROUNDDOWN(($A91+E$6)*(約款料金!$C$17+$J$4)+約款料金!$C$16,0),ROUNDDOWN(($A91+E$6)*(約款料金!$B$17+$J$4)+約款料金!$B$16,0)))</f>
        <v>37926</v>
      </c>
      <c r="F91" s="360">
        <f>IF(($A91+F$6)&gt;約款料金!$C$9,ROUNDDOWN(($A91+F$6)*(約款料金!$D$17+$J$4)+約款料金!$D$16,0),IF(($A91+F$6)&gt;約款料金!$B$9,ROUNDDOWN(($A91+F$6)*(約款料金!$C$17+$J$4)+約款料金!$C$16,0),ROUNDDOWN(($A91+F$6)*(約款料金!$B$17+$J$4)+約款料金!$B$16,0)))</f>
        <v>37970</v>
      </c>
      <c r="G91" s="360">
        <f>IF(($A91+G$6)&gt;約款料金!$C$9,ROUNDDOWN(($A91+G$6)*(約款料金!$D$17+$J$4)+約款料金!$D$16,0),IF(($A91+G$6)&gt;約款料金!$B$9,ROUNDDOWN(($A91+G$6)*(約款料金!$C$17+$J$4)+約款料金!$C$16,0),ROUNDDOWN(($A91+G$6)*(約款料金!$B$17+$J$4)+約款料金!$B$16,0)))</f>
        <v>38015</v>
      </c>
      <c r="H91" s="360">
        <f>IF(($A91+H$6)&gt;約款料金!$C$9,ROUNDDOWN(($A91+H$6)*(約款料金!$D$17+$J$4)+約款料金!$D$16,0),IF(($A91+H$6)&gt;約款料金!$B$9,ROUNDDOWN(($A91+H$6)*(約款料金!$C$17+$J$4)+約款料金!$C$16,0),ROUNDDOWN(($A91+H$6)*(約款料金!$B$17+$J$4)+約款料金!$B$16,0)))</f>
        <v>38060</v>
      </c>
      <c r="I91" s="360">
        <f>IF(($A91+I$6)&gt;約款料金!$C$9,ROUNDDOWN(($A91+I$6)*(約款料金!$D$17+$J$4)+約款料金!$D$16,0),IF(($A91+I$6)&gt;約款料金!$B$9,ROUNDDOWN(($A91+I$6)*(約款料金!$C$17+$J$4)+約款料金!$C$16,0),ROUNDDOWN(($A91+I$6)*(約款料金!$B$17+$J$4)+約款料金!$B$16,0)))</f>
        <v>38105</v>
      </c>
      <c r="J91" s="360">
        <f>IF(($A91+J$6)&gt;約款料金!$C$9,ROUNDDOWN(($A91+J$6)*(約款料金!$D$17+$J$4)+約款料金!$D$16,0),IF(($A91+J$6)&gt;約款料金!$B$9,ROUNDDOWN(($A91+J$6)*(約款料金!$C$17+$J$4)+約款料金!$C$16,0),ROUNDDOWN(($A91+J$6)*(約款料金!$B$17+$J$4)+約款料金!$B$16,0)))</f>
        <v>38150</v>
      </c>
      <c r="K91" s="366">
        <f>IF(($A91+K$6)&gt;約款料金!$C$9,ROUNDDOWN(($A91+K$6)*(約款料金!$D$17+$J$4)+約款料金!$D$16,0),IF(($A91+K$6)&gt;約款料金!$B$9,ROUNDDOWN(($A91+K$6)*(約款料金!$C$17+$J$4)+約款料金!$C$16,0),ROUNDDOWN(($A91+K$6)*(約款料金!$B$17+$J$4)+約款料金!$B$16,0)))</f>
        <v>38195</v>
      </c>
    </row>
    <row r="92" spans="1:11">
      <c r="A92" s="380">
        <v>79</v>
      </c>
      <c r="B92" s="365">
        <f>IF(($A92+B$6)&gt;約款料金!$C$9,ROUNDDOWN(($A92+B$6)*(約款料金!$D$17+$J$4)+約款料金!$D$16,0),IF(($A92+B$6)&gt;約款料金!$B$9,ROUNDDOWN(($A92+B$6)*(約款料金!$C$17+$J$4)+約款料金!$C$16,0),ROUNDDOWN(($A92+B$6)*(約款料金!$B$17+$J$4)+約款料金!$B$16,0)))</f>
        <v>38240</v>
      </c>
      <c r="C92" s="360">
        <f>IF(($A92+C$6)&gt;約款料金!$C$9,ROUNDDOWN(($A92+C$6)*(約款料金!$D$17+$J$4)+約款料金!$D$16,0),IF(($A92+C$6)&gt;約款料金!$B$9,ROUNDDOWN(($A92+C$6)*(約款料金!$C$17+$J$4)+約款料金!$C$16,0),ROUNDDOWN(($A92+C$6)*(約款料金!$B$17+$J$4)+約款料金!$B$16,0)))</f>
        <v>38285</v>
      </c>
      <c r="D92" s="360">
        <f>IF(($A92+D$6)&gt;約款料金!$C$9,ROUNDDOWN(($A92+D$6)*(約款料金!$D$17+$J$4)+約款料金!$D$16,0),IF(($A92+D$6)&gt;約款料金!$B$9,ROUNDDOWN(($A92+D$6)*(約款料金!$C$17+$J$4)+約款料金!$C$16,0),ROUNDDOWN(($A92+D$6)*(約款料金!$B$17+$J$4)+約款料金!$B$16,0)))</f>
        <v>38330</v>
      </c>
      <c r="E92" s="360">
        <f>IF(($A92+E$6)&gt;約款料金!$C$9,ROUNDDOWN(($A92+E$6)*(約款料金!$D$17+$J$4)+約款料金!$D$16,0),IF(($A92+E$6)&gt;約款料金!$B$9,ROUNDDOWN(($A92+E$6)*(約款料金!$C$17+$J$4)+約款料金!$C$16,0),ROUNDDOWN(($A92+E$6)*(約款料金!$B$17+$J$4)+約款料金!$B$16,0)))</f>
        <v>38375</v>
      </c>
      <c r="F92" s="360">
        <f>IF(($A92+F$6)&gt;約款料金!$C$9,ROUNDDOWN(($A92+F$6)*(約款料金!$D$17+$J$4)+約款料金!$D$16,0),IF(($A92+F$6)&gt;約款料金!$B$9,ROUNDDOWN(($A92+F$6)*(約款料金!$C$17+$J$4)+約款料金!$C$16,0),ROUNDDOWN(($A92+F$6)*(約款料金!$B$17+$J$4)+約款料金!$B$16,0)))</f>
        <v>38420</v>
      </c>
      <c r="G92" s="360">
        <f>IF(($A92+G$6)&gt;約款料金!$C$9,ROUNDDOWN(($A92+G$6)*(約款料金!$D$17+$J$4)+約款料金!$D$16,0),IF(($A92+G$6)&gt;約款料金!$B$9,ROUNDDOWN(($A92+G$6)*(約款料金!$C$17+$J$4)+約款料金!$C$16,0),ROUNDDOWN(($A92+G$6)*(約款料金!$B$17+$J$4)+約款料金!$B$16,0)))</f>
        <v>38464</v>
      </c>
      <c r="H92" s="360">
        <f>IF(($A92+H$6)&gt;約款料金!$C$9,ROUNDDOWN(($A92+H$6)*(約款料金!$D$17+$J$4)+約款料金!$D$16,0),IF(($A92+H$6)&gt;約款料金!$B$9,ROUNDDOWN(($A92+H$6)*(約款料金!$C$17+$J$4)+約款料金!$C$16,0),ROUNDDOWN(($A92+H$6)*(約款料金!$B$17+$J$4)+約款料金!$B$16,0)))</f>
        <v>38509</v>
      </c>
      <c r="I92" s="360">
        <f>IF(($A92+I$6)&gt;約款料金!$C$9,ROUNDDOWN(($A92+I$6)*(約款料金!$D$17+$J$4)+約款料金!$D$16,0),IF(($A92+I$6)&gt;約款料金!$B$9,ROUNDDOWN(($A92+I$6)*(約款料金!$C$17+$J$4)+約款料金!$C$16,0),ROUNDDOWN(($A92+I$6)*(約款料金!$B$17+$J$4)+約款料金!$B$16,0)))</f>
        <v>38554</v>
      </c>
      <c r="J92" s="360">
        <f>IF(($A92+J$6)&gt;約款料金!$C$9,ROUNDDOWN(($A92+J$6)*(約款料金!$D$17+$J$4)+約款料金!$D$16,0),IF(($A92+J$6)&gt;約款料金!$B$9,ROUNDDOWN(($A92+J$6)*(約款料金!$C$17+$J$4)+約款料金!$C$16,0),ROUNDDOWN(($A92+J$6)*(約款料金!$B$17+$J$4)+約款料金!$B$16,0)))</f>
        <v>38599</v>
      </c>
      <c r="K92" s="366">
        <f>IF(($A92+K$6)&gt;約款料金!$C$9,ROUNDDOWN(($A92+K$6)*(約款料金!$D$17+$J$4)+約款料金!$D$16,0),IF(($A92+K$6)&gt;約款料金!$B$9,ROUNDDOWN(($A92+K$6)*(約款料金!$C$17+$J$4)+約款料金!$C$16,0),ROUNDDOWN(($A92+K$6)*(約款料金!$B$17+$J$4)+約款料金!$B$16,0)))</f>
        <v>38644</v>
      </c>
    </row>
    <row r="93" spans="1:11">
      <c r="A93" s="382">
        <v>80</v>
      </c>
      <c r="B93" s="371">
        <f>IF(($A93+B$6)&gt;約款料金!$C$9,ROUNDDOWN(($A93+B$6)*(約款料金!$D$17+$J$4)+約款料金!$D$16,0),IF(($A93+B$6)&gt;約款料金!$B$9,ROUNDDOWN(($A93+B$6)*(約款料金!$C$17+$J$4)+約款料金!$C$16,0),ROUNDDOWN(($A93+B$6)*(約款料金!$B$17+$J$4)+約款料金!$B$16,0)))</f>
        <v>38689</v>
      </c>
      <c r="C93" s="372">
        <f>IF(($A93+C$6)&gt;約款料金!$C$9,ROUNDDOWN(($A93+C$6)*(約款料金!$D$17+$J$4)+約款料金!$D$16,0),IF(($A93+C$6)&gt;約款料金!$B$9,ROUNDDOWN(($A93+C$6)*(約款料金!$C$17+$J$4)+約款料金!$C$16,0),ROUNDDOWN(($A93+C$6)*(約款料金!$B$17+$J$4)+約款料金!$B$16,0)))</f>
        <v>38734</v>
      </c>
      <c r="D93" s="372">
        <f>IF(($A93+D$6)&gt;約款料金!$C$9,ROUNDDOWN(($A93+D$6)*(約款料金!$D$17+$J$4)+約款料金!$D$16,0),IF(($A93+D$6)&gt;約款料金!$B$9,ROUNDDOWN(($A93+D$6)*(約款料金!$C$17+$J$4)+約款料金!$C$16,0),ROUNDDOWN(($A93+D$6)*(約款料金!$B$17+$J$4)+約款料金!$B$16,0)))</f>
        <v>38779</v>
      </c>
      <c r="E93" s="372">
        <f>IF(($A93+E$6)&gt;約款料金!$C$9,ROUNDDOWN(($A93+E$6)*(約款料金!$D$17+$J$4)+約款料金!$D$16,0),IF(($A93+E$6)&gt;約款料金!$B$9,ROUNDDOWN(($A93+E$6)*(約款料金!$C$17+$J$4)+約款料金!$C$16,0),ROUNDDOWN(($A93+E$6)*(約款料金!$B$17+$J$4)+約款料金!$B$16,0)))</f>
        <v>38824</v>
      </c>
      <c r="F93" s="372">
        <f>IF(($A93+F$6)&gt;約款料金!$C$9,ROUNDDOWN(($A93+F$6)*(約款料金!$D$17+$J$4)+約款料金!$D$16,0),IF(($A93+F$6)&gt;約款料金!$B$9,ROUNDDOWN(($A93+F$6)*(約款料金!$C$17+$J$4)+約款料金!$C$16,0),ROUNDDOWN(($A93+F$6)*(約款料金!$B$17+$J$4)+約款料金!$B$16,0)))</f>
        <v>38869</v>
      </c>
      <c r="G93" s="372">
        <f>IF(($A93+G$6)&gt;約款料金!$C$9,ROUNDDOWN(($A93+G$6)*(約款料金!$D$17+$J$4)+約款料金!$D$16,0),IF(($A93+G$6)&gt;約款料金!$B$9,ROUNDDOWN(($A93+G$6)*(約款料金!$C$17+$J$4)+約款料金!$C$16,0),ROUNDDOWN(($A93+G$6)*(約款料金!$B$17+$J$4)+約款料金!$B$16,0)))</f>
        <v>38913</v>
      </c>
      <c r="H93" s="372">
        <f>IF(($A93+H$6)&gt;約款料金!$C$9,ROUNDDOWN(($A93+H$6)*(約款料金!$D$17+$J$4)+約款料金!$D$16,0),IF(($A93+H$6)&gt;約款料金!$B$9,ROUNDDOWN(($A93+H$6)*(約款料金!$C$17+$J$4)+約款料金!$C$16,0),ROUNDDOWN(($A93+H$6)*(約款料金!$B$17+$J$4)+約款料金!$B$16,0)))</f>
        <v>38958</v>
      </c>
      <c r="I93" s="372">
        <f>IF(($A93+I$6)&gt;約款料金!$C$9,ROUNDDOWN(($A93+I$6)*(約款料金!$D$17+$J$4)+約款料金!$D$16,0),IF(($A93+I$6)&gt;約款料金!$B$9,ROUNDDOWN(($A93+I$6)*(約款料金!$C$17+$J$4)+約款料金!$C$16,0),ROUNDDOWN(($A93+I$6)*(約款料金!$B$17+$J$4)+約款料金!$B$16,0)))</f>
        <v>39003</v>
      </c>
      <c r="J93" s="372">
        <f>IF(($A93+J$6)&gt;約款料金!$C$9,ROUNDDOWN(($A93+J$6)*(約款料金!$D$17+$J$4)+約款料金!$D$16,0),IF(($A93+J$6)&gt;約款料金!$B$9,ROUNDDOWN(($A93+J$6)*(約款料金!$C$17+$J$4)+約款料金!$C$16,0),ROUNDDOWN(($A93+J$6)*(約款料金!$B$17+$J$4)+約款料金!$B$16,0)))</f>
        <v>39048</v>
      </c>
      <c r="K93" s="373">
        <f>IF(($A93+K$6)&gt;約款料金!$C$9,ROUNDDOWN(($A93+K$6)*(約款料金!$D$17+$J$4)+約款料金!$D$16,0),IF(($A93+K$6)&gt;約款料金!$B$9,ROUNDDOWN(($A93+K$6)*(約款料金!$C$17+$J$4)+約款料金!$C$16,0),ROUNDDOWN(($A93+K$6)*(約款料金!$B$17+$J$4)+約款料金!$B$16,0)))</f>
        <v>39093</v>
      </c>
    </row>
    <row r="94" spans="1:11">
      <c r="A94" s="379">
        <v>81</v>
      </c>
      <c r="B94" s="365">
        <f>IF(($A94+B$6)&gt;約款料金!$C$9,ROUNDDOWN(($A94+B$6)*(約款料金!$D$17+$J$4)+約款料金!$D$16,0),IF(($A94+B$6)&gt;約款料金!$B$9,ROUNDDOWN(($A94+B$6)*(約款料金!$C$17+$J$4)+約款料金!$C$16,0),ROUNDDOWN(($A94+B$6)*(約款料金!$B$17+$J$4)+約款料金!$B$16,0)))</f>
        <v>39138</v>
      </c>
      <c r="C94" s="360">
        <f>IF(($A94+C$6)&gt;約款料金!$C$9,ROUNDDOWN(($A94+C$6)*(約款料金!$D$17+$J$4)+約款料金!$D$16,0),IF(($A94+C$6)&gt;約款料金!$B$9,ROUNDDOWN(($A94+C$6)*(約款料金!$C$17+$J$4)+約款料金!$C$16,0),ROUNDDOWN(($A94+C$6)*(約款料金!$B$17+$J$4)+約款料金!$B$16,0)))</f>
        <v>39183</v>
      </c>
      <c r="D94" s="360">
        <f>IF(($A94+D$6)&gt;約款料金!$C$9,ROUNDDOWN(($A94+D$6)*(約款料金!$D$17+$J$4)+約款料金!$D$16,0),IF(($A94+D$6)&gt;約款料金!$B$9,ROUNDDOWN(($A94+D$6)*(約款料金!$C$17+$J$4)+約款料金!$C$16,0),ROUNDDOWN(($A94+D$6)*(約款料金!$B$17+$J$4)+約款料金!$B$16,0)))</f>
        <v>39228</v>
      </c>
      <c r="E94" s="360">
        <f>IF(($A94+E$6)&gt;約款料金!$C$9,ROUNDDOWN(($A94+E$6)*(約款料金!$D$17+$J$4)+約款料金!$D$16,0),IF(($A94+E$6)&gt;約款料金!$B$9,ROUNDDOWN(($A94+E$6)*(約款料金!$C$17+$J$4)+約款料金!$C$16,0),ROUNDDOWN(($A94+E$6)*(約款料金!$B$17+$J$4)+約款料金!$B$16,0)))</f>
        <v>39273</v>
      </c>
      <c r="F94" s="360">
        <f>IF(($A94+F$6)&gt;約款料金!$C$9,ROUNDDOWN(($A94+F$6)*(約款料金!$D$17+$J$4)+約款料金!$D$16,0),IF(($A94+F$6)&gt;約款料金!$B$9,ROUNDDOWN(($A94+F$6)*(約款料金!$C$17+$J$4)+約款料金!$C$16,0),ROUNDDOWN(($A94+F$6)*(約款料金!$B$17+$J$4)+約款料金!$B$16,0)))</f>
        <v>39318</v>
      </c>
      <c r="G94" s="360">
        <f>IF(($A94+G$6)&gt;約款料金!$C$9,ROUNDDOWN(($A94+G$6)*(約款料金!$D$17+$J$4)+約款料金!$D$16,0),IF(($A94+G$6)&gt;約款料金!$B$9,ROUNDDOWN(($A94+G$6)*(約款料金!$C$17+$J$4)+約款料金!$C$16,0),ROUNDDOWN(($A94+G$6)*(約款料金!$B$17+$J$4)+約款料金!$B$16,0)))</f>
        <v>39362</v>
      </c>
      <c r="H94" s="360">
        <f>IF(($A94+H$6)&gt;約款料金!$C$9,ROUNDDOWN(($A94+H$6)*(約款料金!$D$17+$J$4)+約款料金!$D$16,0),IF(($A94+H$6)&gt;約款料金!$B$9,ROUNDDOWN(($A94+H$6)*(約款料金!$C$17+$J$4)+約款料金!$C$16,0),ROUNDDOWN(($A94+H$6)*(約款料金!$B$17+$J$4)+約款料金!$B$16,0)))</f>
        <v>39407</v>
      </c>
      <c r="I94" s="360">
        <f>IF(($A94+I$6)&gt;約款料金!$C$9,ROUNDDOWN(($A94+I$6)*(約款料金!$D$17+$J$4)+約款料金!$D$16,0),IF(($A94+I$6)&gt;約款料金!$B$9,ROUNDDOWN(($A94+I$6)*(約款料金!$C$17+$J$4)+約款料金!$C$16,0),ROUNDDOWN(($A94+I$6)*(約款料金!$B$17+$J$4)+約款料金!$B$16,0)))</f>
        <v>39452</v>
      </c>
      <c r="J94" s="360">
        <f>IF(($A94+J$6)&gt;約款料金!$C$9,ROUNDDOWN(($A94+J$6)*(約款料金!$D$17+$J$4)+約款料金!$D$16,0),IF(($A94+J$6)&gt;約款料金!$B$9,ROUNDDOWN(($A94+J$6)*(約款料金!$C$17+$J$4)+約款料金!$C$16,0),ROUNDDOWN(($A94+J$6)*(約款料金!$B$17+$J$4)+約款料金!$B$16,0)))</f>
        <v>39497</v>
      </c>
      <c r="K94" s="366">
        <f>IF(($A94+K$6)&gt;約款料金!$C$9,ROUNDDOWN(($A94+K$6)*(約款料金!$D$17+$J$4)+約款料金!$D$16,0),IF(($A94+K$6)&gt;約款料金!$B$9,ROUNDDOWN(($A94+K$6)*(約款料金!$C$17+$J$4)+約款料金!$C$16,0),ROUNDDOWN(($A94+K$6)*(約款料金!$B$17+$J$4)+約款料金!$B$16,0)))</f>
        <v>39542</v>
      </c>
    </row>
    <row r="95" spans="1:11">
      <c r="A95" s="380">
        <v>82</v>
      </c>
      <c r="B95" s="365">
        <f>IF(($A95+B$6)&gt;約款料金!$C$9,ROUNDDOWN(($A95+B$6)*(約款料金!$D$17+$J$4)+約款料金!$D$16,0),IF(($A95+B$6)&gt;約款料金!$B$9,ROUNDDOWN(($A95+B$6)*(約款料金!$C$17+$J$4)+約款料金!$C$16,0),ROUNDDOWN(($A95+B$6)*(約款料金!$B$17+$J$4)+約款料金!$B$16,0)))</f>
        <v>39587</v>
      </c>
      <c r="C95" s="360">
        <f>IF(($A95+C$6)&gt;約款料金!$C$9,ROUNDDOWN(($A95+C$6)*(約款料金!$D$17+$J$4)+約款料金!$D$16,0),IF(($A95+C$6)&gt;約款料金!$B$9,ROUNDDOWN(($A95+C$6)*(約款料金!$C$17+$J$4)+約款料金!$C$16,0),ROUNDDOWN(($A95+C$6)*(約款料金!$B$17+$J$4)+約款料金!$B$16,0)))</f>
        <v>39632</v>
      </c>
      <c r="D95" s="360">
        <f>IF(($A95+D$6)&gt;約款料金!$C$9,ROUNDDOWN(($A95+D$6)*(約款料金!$D$17+$J$4)+約款料金!$D$16,0),IF(($A95+D$6)&gt;約款料金!$B$9,ROUNDDOWN(($A95+D$6)*(約款料金!$C$17+$J$4)+約款料金!$C$16,0),ROUNDDOWN(($A95+D$6)*(約款料金!$B$17+$J$4)+約款料金!$B$16,0)))</f>
        <v>39677</v>
      </c>
      <c r="E95" s="360">
        <f>IF(($A95+E$6)&gt;約款料金!$C$9,ROUNDDOWN(($A95+E$6)*(約款料金!$D$17+$J$4)+約款料金!$D$16,0),IF(($A95+E$6)&gt;約款料金!$B$9,ROUNDDOWN(($A95+E$6)*(約款料金!$C$17+$J$4)+約款料金!$C$16,0),ROUNDDOWN(($A95+E$6)*(約款料金!$B$17+$J$4)+約款料金!$B$16,0)))</f>
        <v>39722</v>
      </c>
      <c r="F95" s="360">
        <f>IF(($A95+F$6)&gt;約款料金!$C$9,ROUNDDOWN(($A95+F$6)*(約款料金!$D$17+$J$4)+約款料金!$D$16,0),IF(($A95+F$6)&gt;約款料金!$B$9,ROUNDDOWN(($A95+F$6)*(約款料金!$C$17+$J$4)+約款料金!$C$16,0),ROUNDDOWN(($A95+F$6)*(約款料金!$B$17+$J$4)+約款料金!$B$16,0)))</f>
        <v>39767</v>
      </c>
      <c r="G95" s="360">
        <f>IF(($A95+G$6)&gt;約款料金!$C$9,ROUNDDOWN(($A95+G$6)*(約款料金!$D$17+$J$4)+約款料金!$D$16,0),IF(($A95+G$6)&gt;約款料金!$B$9,ROUNDDOWN(($A95+G$6)*(約款料金!$C$17+$J$4)+約款料金!$C$16,0),ROUNDDOWN(($A95+G$6)*(約款料金!$B$17+$J$4)+約款料金!$B$16,0)))</f>
        <v>39811</v>
      </c>
      <c r="H95" s="360">
        <f>IF(($A95+H$6)&gt;約款料金!$C$9,ROUNDDOWN(($A95+H$6)*(約款料金!$D$17+$J$4)+約款料金!$D$16,0),IF(($A95+H$6)&gt;約款料金!$B$9,ROUNDDOWN(($A95+H$6)*(約款料金!$C$17+$J$4)+約款料金!$C$16,0),ROUNDDOWN(($A95+H$6)*(約款料金!$B$17+$J$4)+約款料金!$B$16,0)))</f>
        <v>39856</v>
      </c>
      <c r="I95" s="360">
        <f>IF(($A95+I$6)&gt;約款料金!$C$9,ROUNDDOWN(($A95+I$6)*(約款料金!$D$17+$J$4)+約款料金!$D$16,0),IF(($A95+I$6)&gt;約款料金!$B$9,ROUNDDOWN(($A95+I$6)*(約款料金!$C$17+$J$4)+約款料金!$C$16,0),ROUNDDOWN(($A95+I$6)*(約款料金!$B$17+$J$4)+約款料金!$B$16,0)))</f>
        <v>39901</v>
      </c>
      <c r="J95" s="360">
        <f>IF(($A95+J$6)&gt;約款料金!$C$9,ROUNDDOWN(($A95+J$6)*(約款料金!$D$17+$J$4)+約款料金!$D$16,0),IF(($A95+J$6)&gt;約款料金!$B$9,ROUNDDOWN(($A95+J$6)*(約款料金!$C$17+$J$4)+約款料金!$C$16,0),ROUNDDOWN(($A95+J$6)*(約款料金!$B$17+$J$4)+約款料金!$B$16,0)))</f>
        <v>39946</v>
      </c>
      <c r="K95" s="366">
        <f>IF(($A95+K$6)&gt;約款料金!$C$9,ROUNDDOWN(($A95+K$6)*(約款料金!$D$17+$J$4)+約款料金!$D$16,0),IF(($A95+K$6)&gt;約款料金!$B$9,ROUNDDOWN(($A95+K$6)*(約款料金!$C$17+$J$4)+約款料金!$C$16,0),ROUNDDOWN(($A95+K$6)*(約款料金!$B$17+$J$4)+約款料金!$B$16,0)))</f>
        <v>39991</v>
      </c>
    </row>
    <row r="96" spans="1:11">
      <c r="A96" s="380">
        <v>83</v>
      </c>
      <c r="B96" s="365">
        <f>IF(($A96+B$6)&gt;約款料金!$C$9,ROUNDDOWN(($A96+B$6)*(約款料金!$D$17+$J$4)+約款料金!$D$16,0),IF(($A96+B$6)&gt;約款料金!$B$9,ROUNDDOWN(($A96+B$6)*(約款料金!$C$17+$J$4)+約款料金!$C$16,0),ROUNDDOWN(($A96+B$6)*(約款料金!$B$17+$J$4)+約款料金!$B$16,0)))</f>
        <v>40036</v>
      </c>
      <c r="C96" s="360">
        <f>IF(($A96+C$6)&gt;約款料金!$C$9,ROUNDDOWN(($A96+C$6)*(約款料金!$D$17+$J$4)+約款料金!$D$16,0),IF(($A96+C$6)&gt;約款料金!$B$9,ROUNDDOWN(($A96+C$6)*(約款料金!$C$17+$J$4)+約款料金!$C$16,0),ROUNDDOWN(($A96+C$6)*(約款料金!$B$17+$J$4)+約款料金!$B$16,0)))</f>
        <v>40081</v>
      </c>
      <c r="D96" s="360">
        <f>IF(($A96+D$6)&gt;約款料金!$C$9,ROUNDDOWN(($A96+D$6)*(約款料金!$D$17+$J$4)+約款料金!$D$16,0),IF(($A96+D$6)&gt;約款料金!$B$9,ROUNDDOWN(($A96+D$6)*(約款料金!$C$17+$J$4)+約款料金!$C$16,0),ROUNDDOWN(($A96+D$6)*(約款料金!$B$17+$J$4)+約款料金!$B$16,0)))</f>
        <v>40126</v>
      </c>
      <c r="E96" s="360">
        <f>IF(($A96+E$6)&gt;約款料金!$C$9,ROUNDDOWN(($A96+E$6)*(約款料金!$D$17+$J$4)+約款料金!$D$16,0),IF(($A96+E$6)&gt;約款料金!$B$9,ROUNDDOWN(($A96+E$6)*(約款料金!$C$17+$J$4)+約款料金!$C$16,0),ROUNDDOWN(($A96+E$6)*(約款料金!$B$17+$J$4)+約款料金!$B$16,0)))</f>
        <v>40171</v>
      </c>
      <c r="F96" s="360">
        <f>IF(($A96+F$6)&gt;約款料金!$C$9,ROUNDDOWN(($A96+F$6)*(約款料金!$D$17+$J$4)+約款料金!$D$16,0),IF(($A96+F$6)&gt;約款料金!$B$9,ROUNDDOWN(($A96+F$6)*(約款料金!$C$17+$J$4)+約款料金!$C$16,0),ROUNDDOWN(($A96+F$6)*(約款料金!$B$17+$J$4)+約款料金!$B$16,0)))</f>
        <v>40216</v>
      </c>
      <c r="G96" s="360">
        <f>IF(($A96+G$6)&gt;約款料金!$C$9,ROUNDDOWN(($A96+G$6)*(約款料金!$D$17+$J$4)+約款料金!$D$16,0),IF(($A96+G$6)&gt;約款料金!$B$9,ROUNDDOWN(($A96+G$6)*(約款料金!$C$17+$J$4)+約款料金!$C$16,0),ROUNDDOWN(($A96+G$6)*(約款料金!$B$17+$J$4)+約款料金!$B$16,0)))</f>
        <v>40260</v>
      </c>
      <c r="H96" s="360">
        <f>IF(($A96+H$6)&gt;約款料金!$C$9,ROUNDDOWN(($A96+H$6)*(約款料金!$D$17+$J$4)+約款料金!$D$16,0),IF(($A96+H$6)&gt;約款料金!$B$9,ROUNDDOWN(($A96+H$6)*(約款料金!$C$17+$J$4)+約款料金!$C$16,0),ROUNDDOWN(($A96+H$6)*(約款料金!$B$17+$J$4)+約款料金!$B$16,0)))</f>
        <v>40305</v>
      </c>
      <c r="I96" s="360">
        <f>IF(($A96+I$6)&gt;約款料金!$C$9,ROUNDDOWN(($A96+I$6)*(約款料金!$D$17+$J$4)+約款料金!$D$16,0),IF(($A96+I$6)&gt;約款料金!$B$9,ROUNDDOWN(($A96+I$6)*(約款料金!$C$17+$J$4)+約款料金!$C$16,0),ROUNDDOWN(($A96+I$6)*(約款料金!$B$17+$J$4)+約款料金!$B$16,0)))</f>
        <v>40350</v>
      </c>
      <c r="J96" s="360">
        <f>IF(($A96+J$6)&gt;約款料金!$C$9,ROUNDDOWN(($A96+J$6)*(約款料金!$D$17+$J$4)+約款料金!$D$16,0),IF(($A96+J$6)&gt;約款料金!$B$9,ROUNDDOWN(($A96+J$6)*(約款料金!$C$17+$J$4)+約款料金!$C$16,0),ROUNDDOWN(($A96+J$6)*(約款料金!$B$17+$J$4)+約款料金!$B$16,0)))</f>
        <v>40395</v>
      </c>
      <c r="K96" s="366">
        <f>IF(($A96+K$6)&gt;約款料金!$C$9,ROUNDDOWN(($A96+K$6)*(約款料金!$D$17+$J$4)+約款料金!$D$16,0),IF(($A96+K$6)&gt;約款料金!$B$9,ROUNDDOWN(($A96+K$6)*(約款料金!$C$17+$J$4)+約款料金!$C$16,0),ROUNDDOWN(($A96+K$6)*(約款料金!$B$17+$J$4)+約款料金!$B$16,0)))</f>
        <v>40440</v>
      </c>
    </row>
    <row r="97" spans="1:11">
      <c r="A97" s="380">
        <v>84</v>
      </c>
      <c r="B97" s="365">
        <f>IF(($A97+B$6)&gt;約款料金!$C$9,ROUNDDOWN(($A97+B$6)*(約款料金!$D$17+$J$4)+約款料金!$D$16,0),IF(($A97+B$6)&gt;約款料金!$B$9,ROUNDDOWN(($A97+B$6)*(約款料金!$C$17+$J$4)+約款料金!$C$16,0),ROUNDDOWN(($A97+B$6)*(約款料金!$B$17+$J$4)+約款料金!$B$16,0)))</f>
        <v>40485</v>
      </c>
      <c r="C97" s="360">
        <f>IF(($A97+C$6)&gt;約款料金!$C$9,ROUNDDOWN(($A97+C$6)*(約款料金!$D$17+$J$4)+約款料金!$D$16,0),IF(($A97+C$6)&gt;約款料金!$B$9,ROUNDDOWN(($A97+C$6)*(約款料金!$C$17+$J$4)+約款料金!$C$16,0),ROUNDDOWN(($A97+C$6)*(約款料金!$B$17+$J$4)+約款料金!$B$16,0)))</f>
        <v>40530</v>
      </c>
      <c r="D97" s="360">
        <f>IF(($A97+D$6)&gt;約款料金!$C$9,ROUNDDOWN(($A97+D$6)*(約款料金!$D$17+$J$4)+約款料金!$D$16,0),IF(($A97+D$6)&gt;約款料金!$B$9,ROUNDDOWN(($A97+D$6)*(約款料金!$C$17+$J$4)+約款料金!$C$16,0),ROUNDDOWN(($A97+D$6)*(約款料金!$B$17+$J$4)+約款料金!$B$16,0)))</f>
        <v>40575</v>
      </c>
      <c r="E97" s="360">
        <f>IF(($A97+E$6)&gt;約款料金!$C$9,ROUNDDOWN(($A97+E$6)*(約款料金!$D$17+$J$4)+約款料金!$D$16,0),IF(($A97+E$6)&gt;約款料金!$B$9,ROUNDDOWN(($A97+E$6)*(約款料金!$C$17+$J$4)+約款料金!$C$16,0),ROUNDDOWN(($A97+E$6)*(約款料金!$B$17+$J$4)+約款料金!$B$16,0)))</f>
        <v>40620</v>
      </c>
      <c r="F97" s="360">
        <f>IF(($A97+F$6)&gt;約款料金!$C$9,ROUNDDOWN(($A97+F$6)*(約款料金!$D$17+$J$4)+約款料金!$D$16,0),IF(($A97+F$6)&gt;約款料金!$B$9,ROUNDDOWN(($A97+F$6)*(約款料金!$C$17+$J$4)+約款料金!$C$16,0),ROUNDDOWN(($A97+F$6)*(約款料金!$B$17+$J$4)+約款料金!$B$16,0)))</f>
        <v>40665</v>
      </c>
      <c r="G97" s="360">
        <f>IF(($A97+G$6)&gt;約款料金!$C$9,ROUNDDOWN(($A97+G$6)*(約款料金!$D$17+$J$4)+約款料金!$D$16,0),IF(($A97+G$6)&gt;約款料金!$B$9,ROUNDDOWN(($A97+G$6)*(約款料金!$C$17+$J$4)+約款料金!$C$16,0),ROUNDDOWN(($A97+G$6)*(約款料金!$B$17+$J$4)+約款料金!$B$16,0)))</f>
        <v>40710</v>
      </c>
      <c r="H97" s="360">
        <f>IF(($A97+H$6)&gt;約款料金!$C$9,ROUNDDOWN(($A97+H$6)*(約款料金!$D$17+$J$4)+約款料金!$D$16,0),IF(($A97+H$6)&gt;約款料金!$B$9,ROUNDDOWN(($A97+H$6)*(約款料金!$C$17+$J$4)+約款料金!$C$16,0),ROUNDDOWN(($A97+H$6)*(約款料金!$B$17+$J$4)+約款料金!$B$16,0)))</f>
        <v>40754</v>
      </c>
      <c r="I97" s="360">
        <f>IF(($A97+I$6)&gt;約款料金!$C$9,ROUNDDOWN(($A97+I$6)*(約款料金!$D$17+$J$4)+約款料金!$D$16,0),IF(($A97+I$6)&gt;約款料金!$B$9,ROUNDDOWN(($A97+I$6)*(約款料金!$C$17+$J$4)+約款料金!$C$16,0),ROUNDDOWN(($A97+I$6)*(約款料金!$B$17+$J$4)+約款料金!$B$16,0)))</f>
        <v>40799</v>
      </c>
      <c r="J97" s="360">
        <f>IF(($A97+J$6)&gt;約款料金!$C$9,ROUNDDOWN(($A97+J$6)*(約款料金!$D$17+$J$4)+約款料金!$D$16,0),IF(($A97+J$6)&gt;約款料金!$B$9,ROUNDDOWN(($A97+J$6)*(約款料金!$C$17+$J$4)+約款料金!$C$16,0),ROUNDDOWN(($A97+J$6)*(約款料金!$B$17+$J$4)+約款料金!$B$16,0)))</f>
        <v>40844</v>
      </c>
      <c r="K97" s="366">
        <f>IF(($A97+K$6)&gt;約款料金!$C$9,ROUNDDOWN(($A97+K$6)*(約款料金!$D$17+$J$4)+約款料金!$D$16,0),IF(($A97+K$6)&gt;約款料金!$B$9,ROUNDDOWN(($A97+K$6)*(約款料金!$C$17+$J$4)+約款料金!$C$16,0),ROUNDDOWN(($A97+K$6)*(約款料金!$B$17+$J$4)+約款料金!$B$16,0)))</f>
        <v>40889</v>
      </c>
    </row>
    <row r="98" spans="1:11">
      <c r="A98" s="382">
        <v>85</v>
      </c>
      <c r="B98" s="371">
        <f>IF(($A98+B$6)&gt;約款料金!$C$9,ROUNDDOWN(($A98+B$6)*(約款料金!$D$17+$J$4)+約款料金!$D$16,0),IF(($A98+B$6)&gt;約款料金!$B$9,ROUNDDOWN(($A98+B$6)*(約款料金!$C$17+$J$4)+約款料金!$C$16,0),ROUNDDOWN(($A98+B$6)*(約款料金!$B$17+$J$4)+約款料金!$B$16,0)))</f>
        <v>40934</v>
      </c>
      <c r="C98" s="372">
        <f>IF(($A98+C$6)&gt;約款料金!$C$9,ROUNDDOWN(($A98+C$6)*(約款料金!$D$17+$J$4)+約款料金!$D$16,0),IF(($A98+C$6)&gt;約款料金!$B$9,ROUNDDOWN(($A98+C$6)*(約款料金!$C$17+$J$4)+約款料金!$C$16,0),ROUNDDOWN(($A98+C$6)*(約款料金!$B$17+$J$4)+約款料金!$B$16,0)))</f>
        <v>40979</v>
      </c>
      <c r="D98" s="372">
        <f>IF(($A98+D$6)&gt;約款料金!$C$9,ROUNDDOWN(($A98+D$6)*(約款料金!$D$17+$J$4)+約款料金!$D$16,0),IF(($A98+D$6)&gt;約款料金!$B$9,ROUNDDOWN(($A98+D$6)*(約款料金!$C$17+$J$4)+約款料金!$C$16,0),ROUNDDOWN(($A98+D$6)*(約款料金!$B$17+$J$4)+約款料金!$B$16,0)))</f>
        <v>41024</v>
      </c>
      <c r="E98" s="372">
        <f>IF(($A98+E$6)&gt;約款料金!$C$9,ROUNDDOWN(($A98+E$6)*(約款料金!$D$17+$J$4)+約款料金!$D$16,0),IF(($A98+E$6)&gt;約款料金!$B$9,ROUNDDOWN(($A98+E$6)*(約款料金!$C$17+$J$4)+約款料金!$C$16,0),ROUNDDOWN(($A98+E$6)*(約款料金!$B$17+$J$4)+約款料金!$B$16,0)))</f>
        <v>41069</v>
      </c>
      <c r="F98" s="372">
        <f>IF(($A98+F$6)&gt;約款料金!$C$9,ROUNDDOWN(($A98+F$6)*(約款料金!$D$17+$J$4)+約款料金!$D$16,0),IF(($A98+F$6)&gt;約款料金!$B$9,ROUNDDOWN(($A98+F$6)*(約款料金!$C$17+$J$4)+約款料金!$C$16,0),ROUNDDOWN(($A98+F$6)*(約款料金!$B$17+$J$4)+約款料金!$B$16,0)))</f>
        <v>41114</v>
      </c>
      <c r="G98" s="372">
        <f>IF(($A98+G$6)&gt;約款料金!$C$9,ROUNDDOWN(($A98+G$6)*(約款料金!$D$17+$J$4)+約款料金!$D$16,0),IF(($A98+G$6)&gt;約款料金!$B$9,ROUNDDOWN(($A98+G$6)*(約款料金!$C$17+$J$4)+約款料金!$C$16,0),ROUNDDOWN(($A98+G$6)*(約款料金!$B$17+$J$4)+約款料金!$B$16,0)))</f>
        <v>41159</v>
      </c>
      <c r="H98" s="372">
        <f>IF(($A98+H$6)&gt;約款料金!$C$9,ROUNDDOWN(($A98+H$6)*(約款料金!$D$17+$J$4)+約款料金!$D$16,0),IF(($A98+H$6)&gt;約款料金!$B$9,ROUNDDOWN(($A98+H$6)*(約款料金!$C$17+$J$4)+約款料金!$C$16,0),ROUNDDOWN(($A98+H$6)*(約款料金!$B$17+$J$4)+約款料金!$B$16,0)))</f>
        <v>41203</v>
      </c>
      <c r="I98" s="372">
        <f>IF(($A98+I$6)&gt;約款料金!$C$9,ROUNDDOWN(($A98+I$6)*(約款料金!$D$17+$J$4)+約款料金!$D$16,0),IF(($A98+I$6)&gt;約款料金!$B$9,ROUNDDOWN(($A98+I$6)*(約款料金!$C$17+$J$4)+約款料金!$C$16,0),ROUNDDOWN(($A98+I$6)*(約款料金!$B$17+$J$4)+約款料金!$B$16,0)))</f>
        <v>41248</v>
      </c>
      <c r="J98" s="372">
        <f>IF(($A98+J$6)&gt;約款料金!$C$9,ROUNDDOWN(($A98+J$6)*(約款料金!$D$17+$J$4)+約款料金!$D$16,0),IF(($A98+J$6)&gt;約款料金!$B$9,ROUNDDOWN(($A98+J$6)*(約款料金!$C$17+$J$4)+約款料金!$C$16,0),ROUNDDOWN(($A98+J$6)*(約款料金!$B$17+$J$4)+約款料金!$B$16,0)))</f>
        <v>41293</v>
      </c>
      <c r="K98" s="373">
        <f>IF(($A98+K$6)&gt;約款料金!$C$9,ROUNDDOWN(($A98+K$6)*(約款料金!$D$17+$J$4)+約款料金!$D$16,0),IF(($A98+K$6)&gt;約款料金!$B$9,ROUNDDOWN(($A98+K$6)*(約款料金!$C$17+$J$4)+約款料金!$C$16,0),ROUNDDOWN(($A98+K$6)*(約款料金!$B$17+$J$4)+約款料金!$B$16,0)))</f>
        <v>41338</v>
      </c>
    </row>
    <row r="99" spans="1:11">
      <c r="A99" s="379">
        <v>86</v>
      </c>
      <c r="B99" s="365">
        <f>IF(($A99+B$6)&gt;約款料金!$C$9,ROUNDDOWN(($A99+B$6)*(約款料金!$D$17+$J$4)+約款料金!$D$16,0),IF(($A99+B$6)&gt;約款料金!$B$9,ROUNDDOWN(($A99+B$6)*(約款料金!$C$17+$J$4)+約款料金!$C$16,0),ROUNDDOWN(($A99+B$6)*(約款料金!$B$17+$J$4)+約款料金!$B$16,0)))</f>
        <v>41383</v>
      </c>
      <c r="C99" s="360">
        <f>IF(($A99+C$6)&gt;約款料金!$C$9,ROUNDDOWN(($A99+C$6)*(約款料金!$D$17+$J$4)+約款料金!$D$16,0),IF(($A99+C$6)&gt;約款料金!$B$9,ROUNDDOWN(($A99+C$6)*(約款料金!$C$17+$J$4)+約款料金!$C$16,0),ROUNDDOWN(($A99+C$6)*(約款料金!$B$17+$J$4)+約款料金!$B$16,0)))</f>
        <v>41428</v>
      </c>
      <c r="D99" s="360">
        <f>IF(($A99+D$6)&gt;約款料金!$C$9,ROUNDDOWN(($A99+D$6)*(約款料金!$D$17+$J$4)+約款料金!$D$16,0),IF(($A99+D$6)&gt;約款料金!$B$9,ROUNDDOWN(($A99+D$6)*(約款料金!$C$17+$J$4)+約款料金!$C$16,0),ROUNDDOWN(($A99+D$6)*(約款料金!$B$17+$J$4)+約款料金!$B$16,0)))</f>
        <v>41473</v>
      </c>
      <c r="E99" s="360">
        <f>IF(($A99+E$6)&gt;約款料金!$C$9,ROUNDDOWN(($A99+E$6)*(約款料金!$D$17+$J$4)+約款料金!$D$16,0),IF(($A99+E$6)&gt;約款料金!$B$9,ROUNDDOWN(($A99+E$6)*(約款料金!$C$17+$J$4)+約款料金!$C$16,0),ROUNDDOWN(($A99+E$6)*(約款料金!$B$17+$J$4)+約款料金!$B$16,0)))</f>
        <v>41518</v>
      </c>
      <c r="F99" s="360">
        <f>IF(($A99+F$6)&gt;約款料金!$C$9,ROUNDDOWN(($A99+F$6)*(約款料金!$D$17+$J$4)+約款料金!$D$16,0),IF(($A99+F$6)&gt;約款料金!$B$9,ROUNDDOWN(($A99+F$6)*(約款料金!$C$17+$J$4)+約款料金!$C$16,0),ROUNDDOWN(($A99+F$6)*(約款料金!$B$17+$J$4)+約款料金!$B$16,0)))</f>
        <v>41563</v>
      </c>
      <c r="G99" s="360">
        <f>IF(($A99+G$6)&gt;約款料金!$C$9,ROUNDDOWN(($A99+G$6)*(約款料金!$D$17+$J$4)+約款料金!$D$16,0),IF(($A99+G$6)&gt;約款料金!$B$9,ROUNDDOWN(($A99+G$6)*(約款料金!$C$17+$J$4)+約款料金!$C$16,0),ROUNDDOWN(($A99+G$6)*(約款料金!$B$17+$J$4)+約款料金!$B$16,0)))</f>
        <v>41608</v>
      </c>
      <c r="H99" s="360">
        <f>IF(($A99+H$6)&gt;約款料金!$C$9,ROUNDDOWN(($A99+H$6)*(約款料金!$D$17+$J$4)+約款料金!$D$16,0),IF(($A99+H$6)&gt;約款料金!$B$9,ROUNDDOWN(($A99+H$6)*(約款料金!$C$17+$J$4)+約款料金!$C$16,0),ROUNDDOWN(($A99+H$6)*(約款料金!$B$17+$J$4)+約款料金!$B$16,0)))</f>
        <v>41652</v>
      </c>
      <c r="I99" s="360">
        <f>IF(($A99+I$6)&gt;約款料金!$C$9,ROUNDDOWN(($A99+I$6)*(約款料金!$D$17+$J$4)+約款料金!$D$16,0),IF(($A99+I$6)&gt;約款料金!$B$9,ROUNDDOWN(($A99+I$6)*(約款料金!$C$17+$J$4)+約款料金!$C$16,0),ROUNDDOWN(($A99+I$6)*(約款料金!$B$17+$J$4)+約款料金!$B$16,0)))</f>
        <v>41697</v>
      </c>
      <c r="J99" s="360">
        <f>IF(($A99+J$6)&gt;約款料金!$C$9,ROUNDDOWN(($A99+J$6)*(約款料金!$D$17+$J$4)+約款料金!$D$16,0),IF(($A99+J$6)&gt;約款料金!$B$9,ROUNDDOWN(($A99+J$6)*(約款料金!$C$17+$J$4)+約款料金!$C$16,0),ROUNDDOWN(($A99+J$6)*(約款料金!$B$17+$J$4)+約款料金!$B$16,0)))</f>
        <v>41742</v>
      </c>
      <c r="K99" s="366">
        <f>IF(($A99+K$6)&gt;約款料金!$C$9,ROUNDDOWN(($A99+K$6)*(約款料金!$D$17+$J$4)+約款料金!$D$16,0),IF(($A99+K$6)&gt;約款料金!$B$9,ROUNDDOWN(($A99+K$6)*(約款料金!$C$17+$J$4)+約款料金!$C$16,0),ROUNDDOWN(($A99+K$6)*(約款料金!$B$17+$J$4)+約款料金!$B$16,0)))</f>
        <v>41787</v>
      </c>
    </row>
    <row r="100" spans="1:11">
      <c r="A100" s="380">
        <v>87</v>
      </c>
      <c r="B100" s="365">
        <f>IF(($A100+B$6)&gt;約款料金!$C$9,ROUNDDOWN(($A100+B$6)*(約款料金!$D$17+$J$4)+約款料金!$D$16,0),IF(($A100+B$6)&gt;約款料金!$B$9,ROUNDDOWN(($A100+B$6)*(約款料金!$C$17+$J$4)+約款料金!$C$16,0),ROUNDDOWN(($A100+B$6)*(約款料金!$B$17+$J$4)+約款料金!$B$16,0)))</f>
        <v>41832</v>
      </c>
      <c r="C100" s="360">
        <f>IF(($A100+C$6)&gt;約款料金!$C$9,ROUNDDOWN(($A100+C$6)*(約款料金!$D$17+$J$4)+約款料金!$D$16,0),IF(($A100+C$6)&gt;約款料金!$B$9,ROUNDDOWN(($A100+C$6)*(約款料金!$C$17+$J$4)+約款料金!$C$16,0),ROUNDDOWN(($A100+C$6)*(約款料金!$B$17+$J$4)+約款料金!$B$16,0)))</f>
        <v>41877</v>
      </c>
      <c r="D100" s="360">
        <f>IF(($A100+D$6)&gt;約款料金!$C$9,ROUNDDOWN(($A100+D$6)*(約款料金!$D$17+$J$4)+約款料金!$D$16,0),IF(($A100+D$6)&gt;約款料金!$B$9,ROUNDDOWN(($A100+D$6)*(約款料金!$C$17+$J$4)+約款料金!$C$16,0),ROUNDDOWN(($A100+D$6)*(約款料金!$B$17+$J$4)+約款料金!$B$16,0)))</f>
        <v>41922</v>
      </c>
      <c r="E100" s="360">
        <f>IF(($A100+E$6)&gt;約款料金!$C$9,ROUNDDOWN(($A100+E$6)*(約款料金!$D$17+$J$4)+約款料金!$D$16,0),IF(($A100+E$6)&gt;約款料金!$B$9,ROUNDDOWN(($A100+E$6)*(約款料金!$C$17+$J$4)+約款料金!$C$16,0),ROUNDDOWN(($A100+E$6)*(約款料金!$B$17+$J$4)+約款料金!$B$16,0)))</f>
        <v>41967</v>
      </c>
      <c r="F100" s="360">
        <f>IF(($A100+F$6)&gt;約款料金!$C$9,ROUNDDOWN(($A100+F$6)*(約款料金!$D$17+$J$4)+約款料金!$D$16,0),IF(($A100+F$6)&gt;約款料金!$B$9,ROUNDDOWN(($A100+F$6)*(約款料金!$C$17+$J$4)+約款料金!$C$16,0),ROUNDDOWN(($A100+F$6)*(約款料金!$B$17+$J$4)+約款料金!$B$16,0)))</f>
        <v>42012</v>
      </c>
      <c r="G100" s="360">
        <f>IF(($A100+G$6)&gt;約款料金!$C$9,ROUNDDOWN(($A100+G$6)*(約款料金!$D$17+$J$4)+約款料金!$D$16,0),IF(($A100+G$6)&gt;約款料金!$B$9,ROUNDDOWN(($A100+G$6)*(約款料金!$C$17+$J$4)+約款料金!$C$16,0),ROUNDDOWN(($A100+G$6)*(約款料金!$B$17+$J$4)+約款料金!$B$16,0)))</f>
        <v>42057</v>
      </c>
      <c r="H100" s="360">
        <f>IF(($A100+H$6)&gt;約款料金!$C$9,ROUNDDOWN(($A100+H$6)*(約款料金!$D$17+$J$4)+約款料金!$D$16,0),IF(($A100+H$6)&gt;約款料金!$B$9,ROUNDDOWN(($A100+H$6)*(約款料金!$C$17+$J$4)+約款料金!$C$16,0),ROUNDDOWN(($A100+H$6)*(約款料金!$B$17+$J$4)+約款料金!$B$16,0)))</f>
        <v>42101</v>
      </c>
      <c r="I100" s="360">
        <f>IF(($A100+I$6)&gt;約款料金!$C$9,ROUNDDOWN(($A100+I$6)*(約款料金!$D$17+$J$4)+約款料金!$D$16,0),IF(($A100+I$6)&gt;約款料金!$B$9,ROUNDDOWN(($A100+I$6)*(約款料金!$C$17+$J$4)+約款料金!$C$16,0),ROUNDDOWN(($A100+I$6)*(約款料金!$B$17+$J$4)+約款料金!$B$16,0)))</f>
        <v>42146</v>
      </c>
      <c r="J100" s="360">
        <f>IF(($A100+J$6)&gt;約款料金!$C$9,ROUNDDOWN(($A100+J$6)*(約款料金!$D$17+$J$4)+約款料金!$D$16,0),IF(($A100+J$6)&gt;約款料金!$B$9,ROUNDDOWN(($A100+J$6)*(約款料金!$C$17+$J$4)+約款料金!$C$16,0),ROUNDDOWN(($A100+J$6)*(約款料金!$B$17+$J$4)+約款料金!$B$16,0)))</f>
        <v>42191</v>
      </c>
      <c r="K100" s="366">
        <f>IF(($A100+K$6)&gt;約款料金!$C$9,ROUNDDOWN(($A100+K$6)*(約款料金!$D$17+$J$4)+約款料金!$D$16,0),IF(($A100+K$6)&gt;約款料金!$B$9,ROUNDDOWN(($A100+K$6)*(約款料金!$C$17+$J$4)+約款料金!$C$16,0),ROUNDDOWN(($A100+K$6)*(約款料金!$B$17+$J$4)+約款料金!$B$16,0)))</f>
        <v>42236</v>
      </c>
    </row>
    <row r="101" spans="1:11">
      <c r="A101" s="380">
        <v>88</v>
      </c>
      <c r="B101" s="365">
        <f>IF(($A101+B$6)&gt;約款料金!$C$9,ROUNDDOWN(($A101+B$6)*(約款料金!$D$17+$J$4)+約款料金!$D$16,0),IF(($A101+B$6)&gt;約款料金!$B$9,ROUNDDOWN(($A101+B$6)*(約款料金!$C$17+$J$4)+約款料金!$C$16,0),ROUNDDOWN(($A101+B$6)*(約款料金!$B$17+$J$4)+約款料金!$B$16,0)))</f>
        <v>42281</v>
      </c>
      <c r="C101" s="360">
        <f>IF(($A101+C$6)&gt;約款料金!$C$9,ROUNDDOWN(($A101+C$6)*(約款料金!$D$17+$J$4)+約款料金!$D$16,0),IF(($A101+C$6)&gt;約款料金!$B$9,ROUNDDOWN(($A101+C$6)*(約款料金!$C$17+$J$4)+約款料金!$C$16,0),ROUNDDOWN(($A101+C$6)*(約款料金!$B$17+$J$4)+約款料金!$B$16,0)))</f>
        <v>42326</v>
      </c>
      <c r="D101" s="360">
        <f>IF(($A101+D$6)&gt;約款料金!$C$9,ROUNDDOWN(($A101+D$6)*(約款料金!$D$17+$J$4)+約款料金!$D$16,0),IF(($A101+D$6)&gt;約款料金!$B$9,ROUNDDOWN(($A101+D$6)*(約款料金!$C$17+$J$4)+約款料金!$C$16,0),ROUNDDOWN(($A101+D$6)*(約款料金!$B$17+$J$4)+約款料金!$B$16,0)))</f>
        <v>42371</v>
      </c>
      <c r="E101" s="360">
        <f>IF(($A101+E$6)&gt;約款料金!$C$9,ROUNDDOWN(($A101+E$6)*(約款料金!$D$17+$J$4)+約款料金!$D$16,0),IF(($A101+E$6)&gt;約款料金!$B$9,ROUNDDOWN(($A101+E$6)*(約款料金!$C$17+$J$4)+約款料金!$C$16,0),ROUNDDOWN(($A101+E$6)*(約款料金!$B$17+$J$4)+約款料金!$B$16,0)))</f>
        <v>42416</v>
      </c>
      <c r="F101" s="360">
        <f>IF(($A101+F$6)&gt;約款料金!$C$9,ROUNDDOWN(($A101+F$6)*(約款料金!$D$17+$J$4)+約款料金!$D$16,0),IF(($A101+F$6)&gt;約款料金!$B$9,ROUNDDOWN(($A101+F$6)*(約款料金!$C$17+$J$4)+約款料金!$C$16,0),ROUNDDOWN(($A101+F$6)*(約款料金!$B$17+$J$4)+約款料金!$B$16,0)))</f>
        <v>42461</v>
      </c>
      <c r="G101" s="360">
        <f>IF(($A101+G$6)&gt;約款料金!$C$9,ROUNDDOWN(($A101+G$6)*(約款料金!$D$17+$J$4)+約款料金!$D$16,0),IF(($A101+G$6)&gt;約款料金!$B$9,ROUNDDOWN(($A101+G$6)*(約款料金!$C$17+$J$4)+約款料金!$C$16,0),ROUNDDOWN(($A101+G$6)*(約款料金!$B$17+$J$4)+約款料金!$B$16,0)))</f>
        <v>42506</v>
      </c>
      <c r="H101" s="360">
        <f>IF(($A101+H$6)&gt;約款料金!$C$9,ROUNDDOWN(($A101+H$6)*(約款料金!$D$17+$J$4)+約款料金!$D$16,0),IF(($A101+H$6)&gt;約款料金!$B$9,ROUNDDOWN(($A101+H$6)*(約款料金!$C$17+$J$4)+約款料金!$C$16,0),ROUNDDOWN(($A101+H$6)*(約款料金!$B$17+$J$4)+約款料金!$B$16,0)))</f>
        <v>42550</v>
      </c>
      <c r="I101" s="360">
        <f>IF(($A101+I$6)&gt;約款料金!$C$9,ROUNDDOWN(($A101+I$6)*(約款料金!$D$17+$J$4)+約款料金!$D$16,0),IF(($A101+I$6)&gt;約款料金!$B$9,ROUNDDOWN(($A101+I$6)*(約款料金!$C$17+$J$4)+約款料金!$C$16,0),ROUNDDOWN(($A101+I$6)*(約款料金!$B$17+$J$4)+約款料金!$B$16,0)))</f>
        <v>42595</v>
      </c>
      <c r="J101" s="360">
        <f>IF(($A101+J$6)&gt;約款料金!$C$9,ROUNDDOWN(($A101+J$6)*(約款料金!$D$17+$J$4)+約款料金!$D$16,0),IF(($A101+J$6)&gt;約款料金!$B$9,ROUNDDOWN(($A101+J$6)*(約款料金!$C$17+$J$4)+約款料金!$C$16,0),ROUNDDOWN(($A101+J$6)*(約款料金!$B$17+$J$4)+約款料金!$B$16,0)))</f>
        <v>42640</v>
      </c>
      <c r="K101" s="366">
        <f>IF(($A101+K$6)&gt;約款料金!$C$9,ROUNDDOWN(($A101+K$6)*(約款料金!$D$17+$J$4)+約款料金!$D$16,0),IF(($A101+K$6)&gt;約款料金!$B$9,ROUNDDOWN(($A101+K$6)*(約款料金!$C$17+$J$4)+約款料金!$C$16,0),ROUNDDOWN(($A101+K$6)*(約款料金!$B$17+$J$4)+約款料金!$B$16,0)))</f>
        <v>42685</v>
      </c>
    </row>
    <row r="102" spans="1:11">
      <c r="A102" s="380">
        <v>89</v>
      </c>
      <c r="B102" s="365">
        <f>IF(($A102+B$6)&gt;約款料金!$C$9,ROUNDDOWN(($A102+B$6)*(約款料金!$D$17+$J$4)+約款料金!$D$16,0),IF(($A102+B$6)&gt;約款料金!$B$9,ROUNDDOWN(($A102+B$6)*(約款料金!$C$17+$J$4)+約款料金!$C$16,0),ROUNDDOWN(($A102+B$6)*(約款料金!$B$17+$J$4)+約款料金!$B$16,0)))</f>
        <v>42730</v>
      </c>
      <c r="C102" s="360">
        <f>IF(($A102+C$6)&gt;約款料金!$C$9,ROUNDDOWN(($A102+C$6)*(約款料金!$D$17+$J$4)+約款料金!$D$16,0),IF(($A102+C$6)&gt;約款料金!$B$9,ROUNDDOWN(($A102+C$6)*(約款料金!$C$17+$J$4)+約款料金!$C$16,0),ROUNDDOWN(($A102+C$6)*(約款料金!$B$17+$J$4)+約款料金!$B$16,0)))</f>
        <v>42775</v>
      </c>
      <c r="D102" s="360">
        <f>IF(($A102+D$6)&gt;約款料金!$C$9,ROUNDDOWN(($A102+D$6)*(約款料金!$D$17+$J$4)+約款料金!$D$16,0),IF(($A102+D$6)&gt;約款料金!$B$9,ROUNDDOWN(($A102+D$6)*(約款料金!$C$17+$J$4)+約款料金!$C$16,0),ROUNDDOWN(($A102+D$6)*(約款料金!$B$17+$J$4)+約款料金!$B$16,0)))</f>
        <v>42820</v>
      </c>
      <c r="E102" s="360">
        <f>IF(($A102+E$6)&gt;約款料金!$C$9,ROUNDDOWN(($A102+E$6)*(約款料金!$D$17+$J$4)+約款料金!$D$16,0),IF(($A102+E$6)&gt;約款料金!$B$9,ROUNDDOWN(($A102+E$6)*(約款料金!$C$17+$J$4)+約款料金!$C$16,0),ROUNDDOWN(($A102+E$6)*(約款料金!$B$17+$J$4)+約款料金!$B$16,0)))</f>
        <v>42865</v>
      </c>
      <c r="F102" s="360">
        <f>IF(($A102+F$6)&gt;約款料金!$C$9,ROUNDDOWN(($A102+F$6)*(約款料金!$D$17+$J$4)+約款料金!$D$16,0),IF(($A102+F$6)&gt;約款料金!$B$9,ROUNDDOWN(($A102+F$6)*(約款料金!$C$17+$J$4)+約款料金!$C$16,0),ROUNDDOWN(($A102+F$6)*(約款料金!$B$17+$J$4)+約款料金!$B$16,0)))</f>
        <v>42910</v>
      </c>
      <c r="G102" s="360">
        <f>IF(($A102+G$6)&gt;約款料金!$C$9,ROUNDDOWN(($A102+G$6)*(約款料金!$D$17+$J$4)+約款料金!$D$16,0),IF(($A102+G$6)&gt;約款料金!$B$9,ROUNDDOWN(($A102+G$6)*(約款料金!$C$17+$J$4)+約款料金!$C$16,0),ROUNDDOWN(($A102+G$6)*(約款料金!$B$17+$J$4)+約款料金!$B$16,0)))</f>
        <v>42955</v>
      </c>
      <c r="H102" s="360">
        <f>IF(($A102+H$6)&gt;約款料金!$C$9,ROUNDDOWN(($A102+H$6)*(約款料金!$D$17+$J$4)+約款料金!$D$16,0),IF(($A102+H$6)&gt;約款料金!$B$9,ROUNDDOWN(($A102+H$6)*(約款料金!$C$17+$J$4)+約款料金!$C$16,0),ROUNDDOWN(($A102+H$6)*(約款料金!$B$17+$J$4)+約款料金!$B$16,0)))</f>
        <v>43000</v>
      </c>
      <c r="I102" s="360">
        <f>IF(($A102+I$6)&gt;約款料金!$C$9,ROUNDDOWN(($A102+I$6)*(約款料金!$D$17+$J$4)+約款料金!$D$16,0),IF(($A102+I$6)&gt;約款料金!$B$9,ROUNDDOWN(($A102+I$6)*(約款料金!$C$17+$J$4)+約款料金!$C$16,0),ROUNDDOWN(($A102+I$6)*(約款料金!$B$17+$J$4)+約款料金!$B$16,0)))</f>
        <v>43044</v>
      </c>
      <c r="J102" s="360">
        <f>IF(($A102+J$6)&gt;約款料金!$C$9,ROUNDDOWN(($A102+J$6)*(約款料金!$D$17+$J$4)+約款料金!$D$16,0),IF(($A102+J$6)&gt;約款料金!$B$9,ROUNDDOWN(($A102+J$6)*(約款料金!$C$17+$J$4)+約款料金!$C$16,0),ROUNDDOWN(($A102+J$6)*(約款料金!$B$17+$J$4)+約款料金!$B$16,0)))</f>
        <v>43089</v>
      </c>
      <c r="K102" s="366">
        <f>IF(($A102+K$6)&gt;約款料金!$C$9,ROUNDDOWN(($A102+K$6)*(約款料金!$D$17+$J$4)+約款料金!$D$16,0),IF(($A102+K$6)&gt;約款料金!$B$9,ROUNDDOWN(($A102+K$6)*(約款料金!$C$17+$J$4)+約款料金!$C$16,0),ROUNDDOWN(($A102+K$6)*(約款料金!$B$17+$J$4)+約款料金!$B$16,0)))</f>
        <v>43134</v>
      </c>
    </row>
    <row r="103" spans="1:11">
      <c r="A103" s="382">
        <v>90</v>
      </c>
      <c r="B103" s="371">
        <f>IF(($A103+B$6)&gt;約款料金!$C$9,ROUNDDOWN(($A103+B$6)*(約款料金!$D$17+$J$4)+約款料金!$D$16,0),IF(($A103+B$6)&gt;約款料金!$B$9,ROUNDDOWN(($A103+B$6)*(約款料金!$C$17+$J$4)+約款料金!$C$16,0),ROUNDDOWN(($A103+B$6)*(約款料金!$B$17+$J$4)+約款料金!$B$16,0)))</f>
        <v>43179</v>
      </c>
      <c r="C103" s="372">
        <f>IF(($A103+C$6)&gt;約款料金!$C$9,ROUNDDOWN(($A103+C$6)*(約款料金!$D$17+$J$4)+約款料金!$D$16,0),IF(($A103+C$6)&gt;約款料金!$B$9,ROUNDDOWN(($A103+C$6)*(約款料金!$C$17+$J$4)+約款料金!$C$16,0),ROUNDDOWN(($A103+C$6)*(約款料金!$B$17+$J$4)+約款料金!$B$16,0)))</f>
        <v>43224</v>
      </c>
      <c r="D103" s="372">
        <f>IF(($A103+D$6)&gt;約款料金!$C$9,ROUNDDOWN(($A103+D$6)*(約款料金!$D$17+$J$4)+約款料金!$D$16,0),IF(($A103+D$6)&gt;約款料金!$B$9,ROUNDDOWN(($A103+D$6)*(約款料金!$C$17+$J$4)+約款料金!$C$16,0),ROUNDDOWN(($A103+D$6)*(約款料金!$B$17+$J$4)+約款料金!$B$16,0)))</f>
        <v>43269</v>
      </c>
      <c r="E103" s="372">
        <f>IF(($A103+E$6)&gt;約款料金!$C$9,ROUNDDOWN(($A103+E$6)*(約款料金!$D$17+$J$4)+約款料金!$D$16,0),IF(($A103+E$6)&gt;約款料金!$B$9,ROUNDDOWN(($A103+E$6)*(約款料金!$C$17+$J$4)+約款料金!$C$16,0),ROUNDDOWN(($A103+E$6)*(約款料金!$B$17+$J$4)+約款料金!$B$16,0)))</f>
        <v>43314</v>
      </c>
      <c r="F103" s="372">
        <f>IF(($A103+F$6)&gt;約款料金!$C$9,ROUNDDOWN(($A103+F$6)*(約款料金!$D$17+$J$4)+約款料金!$D$16,0),IF(($A103+F$6)&gt;約款料金!$B$9,ROUNDDOWN(($A103+F$6)*(約款料金!$C$17+$J$4)+約款料金!$C$16,0),ROUNDDOWN(($A103+F$6)*(約款料金!$B$17+$J$4)+約款料金!$B$16,0)))</f>
        <v>43359</v>
      </c>
      <c r="G103" s="372">
        <f>IF(($A103+G$6)&gt;約款料金!$C$9,ROUNDDOWN(($A103+G$6)*(約款料金!$D$17+$J$4)+約款料金!$D$16,0),IF(($A103+G$6)&gt;約款料金!$B$9,ROUNDDOWN(($A103+G$6)*(約款料金!$C$17+$J$4)+約款料金!$C$16,0),ROUNDDOWN(($A103+G$6)*(約款料金!$B$17+$J$4)+約款料金!$B$16,0)))</f>
        <v>43404</v>
      </c>
      <c r="H103" s="372">
        <f>IF(($A103+H$6)&gt;約款料金!$C$9,ROUNDDOWN(($A103+H$6)*(約款料金!$D$17+$J$4)+約款料金!$D$16,0),IF(($A103+H$6)&gt;約款料金!$B$9,ROUNDDOWN(($A103+H$6)*(約款料金!$C$17+$J$4)+約款料金!$C$16,0),ROUNDDOWN(($A103+H$6)*(約款料金!$B$17+$J$4)+約款料金!$B$16,0)))</f>
        <v>43449</v>
      </c>
      <c r="I103" s="372">
        <f>IF(($A103+I$6)&gt;約款料金!$C$9,ROUNDDOWN(($A103+I$6)*(約款料金!$D$17+$J$4)+約款料金!$D$16,0),IF(($A103+I$6)&gt;約款料金!$B$9,ROUNDDOWN(($A103+I$6)*(約款料金!$C$17+$J$4)+約款料金!$C$16,0),ROUNDDOWN(($A103+I$6)*(約款料金!$B$17+$J$4)+約款料金!$B$16,0)))</f>
        <v>43493</v>
      </c>
      <c r="J103" s="372">
        <f>IF(($A103+J$6)&gt;約款料金!$C$9,ROUNDDOWN(($A103+J$6)*(約款料金!$D$17+$J$4)+約款料金!$D$16,0),IF(($A103+J$6)&gt;約款料金!$B$9,ROUNDDOWN(($A103+J$6)*(約款料金!$C$17+$J$4)+約款料金!$C$16,0),ROUNDDOWN(($A103+J$6)*(約款料金!$B$17+$J$4)+約款料金!$B$16,0)))</f>
        <v>43538</v>
      </c>
      <c r="K103" s="373">
        <f>IF(($A103+K$6)&gt;約款料金!$C$9,ROUNDDOWN(($A103+K$6)*(約款料金!$D$17+$J$4)+約款料金!$D$16,0),IF(($A103+K$6)&gt;約款料金!$B$9,ROUNDDOWN(($A103+K$6)*(約款料金!$C$17+$J$4)+約款料金!$C$16,0),ROUNDDOWN(($A103+K$6)*(約款料金!$B$17+$J$4)+約款料金!$B$16,0)))</f>
        <v>43583</v>
      </c>
    </row>
    <row r="104" spans="1:11">
      <c r="A104" s="379">
        <v>91</v>
      </c>
      <c r="B104" s="365">
        <f>IF(($A104+B$6)&gt;約款料金!$C$9,ROUNDDOWN(($A104+B$6)*(約款料金!$D$17+$J$4)+約款料金!$D$16,0),IF(($A104+B$6)&gt;約款料金!$B$9,ROUNDDOWN(($A104+B$6)*(約款料金!$C$17+$J$4)+約款料金!$C$16,0),ROUNDDOWN(($A104+B$6)*(約款料金!$B$17+$J$4)+約款料金!$B$16,0)))</f>
        <v>43628</v>
      </c>
      <c r="C104" s="360">
        <f>IF(($A104+C$6)&gt;約款料金!$C$9,ROUNDDOWN(($A104+C$6)*(約款料金!$D$17+$J$4)+約款料金!$D$16,0),IF(($A104+C$6)&gt;約款料金!$B$9,ROUNDDOWN(($A104+C$6)*(約款料金!$C$17+$J$4)+約款料金!$C$16,0),ROUNDDOWN(($A104+C$6)*(約款料金!$B$17+$J$4)+約款料金!$B$16,0)))</f>
        <v>43673</v>
      </c>
      <c r="D104" s="360">
        <f>IF(($A104+D$6)&gt;約款料金!$C$9,ROUNDDOWN(($A104+D$6)*(約款料金!$D$17+$J$4)+約款料金!$D$16,0),IF(($A104+D$6)&gt;約款料金!$B$9,ROUNDDOWN(($A104+D$6)*(約款料金!$C$17+$J$4)+約款料金!$C$16,0),ROUNDDOWN(($A104+D$6)*(約款料金!$B$17+$J$4)+約款料金!$B$16,0)))</f>
        <v>43718</v>
      </c>
      <c r="E104" s="360">
        <f>IF(($A104+E$6)&gt;約款料金!$C$9,ROUNDDOWN(($A104+E$6)*(約款料金!$D$17+$J$4)+約款料金!$D$16,0),IF(($A104+E$6)&gt;約款料金!$B$9,ROUNDDOWN(($A104+E$6)*(約款料金!$C$17+$J$4)+約款料金!$C$16,0),ROUNDDOWN(($A104+E$6)*(約款料金!$B$17+$J$4)+約款料金!$B$16,0)))</f>
        <v>43763</v>
      </c>
      <c r="F104" s="360">
        <f>IF(($A104+F$6)&gt;約款料金!$C$9,ROUNDDOWN(($A104+F$6)*(約款料金!$D$17+$J$4)+約款料金!$D$16,0),IF(($A104+F$6)&gt;約款料金!$B$9,ROUNDDOWN(($A104+F$6)*(約款料金!$C$17+$J$4)+約款料金!$C$16,0),ROUNDDOWN(($A104+F$6)*(約款料金!$B$17+$J$4)+約款料金!$B$16,0)))</f>
        <v>43808</v>
      </c>
      <c r="G104" s="360">
        <f>IF(($A104+G$6)&gt;約款料金!$C$9,ROUNDDOWN(($A104+G$6)*(約款料金!$D$17+$J$4)+約款料金!$D$16,0),IF(($A104+G$6)&gt;約款料金!$B$9,ROUNDDOWN(($A104+G$6)*(約款料金!$C$17+$J$4)+約款料金!$C$16,0),ROUNDDOWN(($A104+G$6)*(約款料金!$B$17+$J$4)+約款料金!$B$16,0)))</f>
        <v>43853</v>
      </c>
      <c r="H104" s="360">
        <f>IF(($A104+H$6)&gt;約款料金!$C$9,ROUNDDOWN(($A104+H$6)*(約款料金!$D$17+$J$4)+約款料金!$D$16,0),IF(($A104+H$6)&gt;約款料金!$B$9,ROUNDDOWN(($A104+H$6)*(約款料金!$C$17+$J$4)+約款料金!$C$16,0),ROUNDDOWN(($A104+H$6)*(約款料金!$B$17+$J$4)+約款料金!$B$16,0)))</f>
        <v>43898</v>
      </c>
      <c r="I104" s="360">
        <f>IF(($A104+I$6)&gt;約款料金!$C$9,ROUNDDOWN(($A104+I$6)*(約款料金!$D$17+$J$4)+約款料金!$D$16,0),IF(($A104+I$6)&gt;約款料金!$B$9,ROUNDDOWN(($A104+I$6)*(約款料金!$C$17+$J$4)+約款料金!$C$16,0),ROUNDDOWN(($A104+I$6)*(約款料金!$B$17+$J$4)+約款料金!$B$16,0)))</f>
        <v>43942</v>
      </c>
      <c r="J104" s="360">
        <f>IF(($A104+J$6)&gt;約款料金!$C$9,ROUNDDOWN(($A104+J$6)*(約款料金!$D$17+$J$4)+約款料金!$D$16,0),IF(($A104+J$6)&gt;約款料金!$B$9,ROUNDDOWN(($A104+J$6)*(約款料金!$C$17+$J$4)+約款料金!$C$16,0),ROUNDDOWN(($A104+J$6)*(約款料金!$B$17+$J$4)+約款料金!$B$16,0)))</f>
        <v>43987</v>
      </c>
      <c r="K104" s="366">
        <f>IF(($A104+K$6)&gt;約款料金!$C$9,ROUNDDOWN(($A104+K$6)*(約款料金!$D$17+$J$4)+約款料金!$D$16,0),IF(($A104+K$6)&gt;約款料金!$B$9,ROUNDDOWN(($A104+K$6)*(約款料金!$C$17+$J$4)+約款料金!$C$16,0),ROUNDDOWN(($A104+K$6)*(約款料金!$B$17+$J$4)+約款料金!$B$16,0)))</f>
        <v>44032</v>
      </c>
    </row>
    <row r="105" spans="1:11">
      <c r="A105" s="380">
        <v>92</v>
      </c>
      <c r="B105" s="365">
        <f>IF(($A105+B$6)&gt;約款料金!$C$9,ROUNDDOWN(($A105+B$6)*(約款料金!$D$17+$J$4)+約款料金!$D$16,0),IF(($A105+B$6)&gt;約款料金!$B$9,ROUNDDOWN(($A105+B$6)*(約款料金!$C$17+$J$4)+約款料金!$C$16,0),ROUNDDOWN(($A105+B$6)*(約款料金!$B$17+$J$4)+約款料金!$B$16,0)))</f>
        <v>44077</v>
      </c>
      <c r="C105" s="360">
        <f>IF(($A105+C$6)&gt;約款料金!$C$9,ROUNDDOWN(($A105+C$6)*(約款料金!$D$17+$J$4)+約款料金!$D$16,0),IF(($A105+C$6)&gt;約款料金!$B$9,ROUNDDOWN(($A105+C$6)*(約款料金!$C$17+$J$4)+約款料金!$C$16,0),ROUNDDOWN(($A105+C$6)*(約款料金!$B$17+$J$4)+約款料金!$B$16,0)))</f>
        <v>44122</v>
      </c>
      <c r="D105" s="360">
        <f>IF(($A105+D$6)&gt;約款料金!$C$9,ROUNDDOWN(($A105+D$6)*(約款料金!$D$17+$J$4)+約款料金!$D$16,0),IF(($A105+D$6)&gt;約款料金!$B$9,ROUNDDOWN(($A105+D$6)*(約款料金!$C$17+$J$4)+約款料金!$C$16,0),ROUNDDOWN(($A105+D$6)*(約款料金!$B$17+$J$4)+約款料金!$B$16,0)))</f>
        <v>44167</v>
      </c>
      <c r="E105" s="360">
        <f>IF(($A105+E$6)&gt;約款料金!$C$9,ROUNDDOWN(($A105+E$6)*(約款料金!$D$17+$J$4)+約款料金!$D$16,0),IF(($A105+E$6)&gt;約款料金!$B$9,ROUNDDOWN(($A105+E$6)*(約款料金!$C$17+$J$4)+約款料金!$C$16,0),ROUNDDOWN(($A105+E$6)*(約款料金!$B$17+$J$4)+約款料金!$B$16,0)))</f>
        <v>44212</v>
      </c>
      <c r="F105" s="360">
        <f>IF(($A105+F$6)&gt;約款料金!$C$9,ROUNDDOWN(($A105+F$6)*(約款料金!$D$17+$J$4)+約款料金!$D$16,0),IF(($A105+F$6)&gt;約款料金!$B$9,ROUNDDOWN(($A105+F$6)*(約款料金!$C$17+$J$4)+約款料金!$C$16,0),ROUNDDOWN(($A105+F$6)*(約款料金!$B$17+$J$4)+約款料金!$B$16,0)))</f>
        <v>44257</v>
      </c>
      <c r="G105" s="360">
        <f>IF(($A105+G$6)&gt;約款料金!$C$9,ROUNDDOWN(($A105+G$6)*(約款料金!$D$17+$J$4)+約款料金!$D$16,0),IF(($A105+G$6)&gt;約款料金!$B$9,ROUNDDOWN(($A105+G$6)*(約款料金!$C$17+$J$4)+約款料金!$C$16,0),ROUNDDOWN(($A105+G$6)*(約款料金!$B$17+$J$4)+約款料金!$B$16,0)))</f>
        <v>44302</v>
      </c>
      <c r="H105" s="360">
        <f>IF(($A105+H$6)&gt;約款料金!$C$9,ROUNDDOWN(($A105+H$6)*(約款料金!$D$17+$J$4)+約款料金!$D$16,0),IF(($A105+H$6)&gt;約款料金!$B$9,ROUNDDOWN(($A105+H$6)*(約款料金!$C$17+$J$4)+約款料金!$C$16,0),ROUNDDOWN(($A105+H$6)*(約款料金!$B$17+$J$4)+約款料金!$B$16,0)))</f>
        <v>44347</v>
      </c>
      <c r="I105" s="360">
        <f>IF(($A105+I$6)&gt;約款料金!$C$9,ROUNDDOWN(($A105+I$6)*(約款料金!$D$17+$J$4)+約款料金!$D$16,0),IF(($A105+I$6)&gt;約款料金!$B$9,ROUNDDOWN(($A105+I$6)*(約款料金!$C$17+$J$4)+約款料金!$C$16,0),ROUNDDOWN(($A105+I$6)*(約款料金!$B$17+$J$4)+約款料金!$B$16,0)))</f>
        <v>44391</v>
      </c>
      <c r="J105" s="360">
        <f>IF(($A105+J$6)&gt;約款料金!$C$9,ROUNDDOWN(($A105+J$6)*(約款料金!$D$17+$J$4)+約款料金!$D$16,0),IF(($A105+J$6)&gt;約款料金!$B$9,ROUNDDOWN(($A105+J$6)*(約款料金!$C$17+$J$4)+約款料金!$C$16,0),ROUNDDOWN(($A105+J$6)*(約款料金!$B$17+$J$4)+約款料金!$B$16,0)))</f>
        <v>44436</v>
      </c>
      <c r="K105" s="366">
        <f>IF(($A105+K$6)&gt;約款料金!$C$9,ROUNDDOWN(($A105+K$6)*(約款料金!$D$17+$J$4)+約款料金!$D$16,0),IF(($A105+K$6)&gt;約款料金!$B$9,ROUNDDOWN(($A105+K$6)*(約款料金!$C$17+$J$4)+約款料金!$C$16,0),ROUNDDOWN(($A105+K$6)*(約款料金!$B$17+$J$4)+約款料金!$B$16,0)))</f>
        <v>44481</v>
      </c>
    </row>
    <row r="106" spans="1:11">
      <c r="A106" s="380">
        <v>93</v>
      </c>
      <c r="B106" s="365">
        <f>IF(($A106+B$6)&gt;約款料金!$C$9,ROUNDDOWN(($A106+B$6)*(約款料金!$D$17+$J$4)+約款料金!$D$16,0),IF(($A106+B$6)&gt;約款料金!$B$9,ROUNDDOWN(($A106+B$6)*(約款料金!$C$17+$J$4)+約款料金!$C$16,0),ROUNDDOWN(($A106+B$6)*(約款料金!$B$17+$J$4)+約款料金!$B$16,0)))</f>
        <v>44526</v>
      </c>
      <c r="C106" s="360">
        <f>IF(($A106+C$6)&gt;約款料金!$C$9,ROUNDDOWN(($A106+C$6)*(約款料金!$D$17+$J$4)+約款料金!$D$16,0),IF(($A106+C$6)&gt;約款料金!$B$9,ROUNDDOWN(($A106+C$6)*(約款料金!$C$17+$J$4)+約款料金!$C$16,0),ROUNDDOWN(($A106+C$6)*(約款料金!$B$17+$J$4)+約款料金!$B$16,0)))</f>
        <v>44571</v>
      </c>
      <c r="D106" s="360">
        <f>IF(($A106+D$6)&gt;約款料金!$C$9,ROUNDDOWN(($A106+D$6)*(約款料金!$D$17+$J$4)+約款料金!$D$16,0),IF(($A106+D$6)&gt;約款料金!$B$9,ROUNDDOWN(($A106+D$6)*(約款料金!$C$17+$J$4)+約款料金!$C$16,0),ROUNDDOWN(($A106+D$6)*(約款料金!$B$17+$J$4)+約款料金!$B$16,0)))</f>
        <v>44616</v>
      </c>
      <c r="E106" s="360">
        <f>IF(($A106+E$6)&gt;約款料金!$C$9,ROUNDDOWN(($A106+E$6)*(約款料金!$D$17+$J$4)+約款料金!$D$16,0),IF(($A106+E$6)&gt;約款料金!$B$9,ROUNDDOWN(($A106+E$6)*(約款料金!$C$17+$J$4)+約款料金!$C$16,0),ROUNDDOWN(($A106+E$6)*(約款料金!$B$17+$J$4)+約款料金!$B$16,0)))</f>
        <v>44661</v>
      </c>
      <c r="F106" s="360">
        <f>IF(($A106+F$6)&gt;約款料金!$C$9,ROUNDDOWN(($A106+F$6)*(約款料金!$D$17+$J$4)+約款料金!$D$16,0),IF(($A106+F$6)&gt;約款料金!$B$9,ROUNDDOWN(($A106+F$6)*(約款料金!$C$17+$J$4)+約款料金!$C$16,0),ROUNDDOWN(($A106+F$6)*(約款料金!$B$17+$J$4)+約款料金!$B$16,0)))</f>
        <v>44706</v>
      </c>
      <c r="G106" s="360">
        <f>IF(($A106+G$6)&gt;約款料金!$C$9,ROUNDDOWN(($A106+G$6)*(約款料金!$D$17+$J$4)+約款料金!$D$16,0),IF(($A106+G$6)&gt;約款料金!$B$9,ROUNDDOWN(($A106+G$6)*(約款料金!$C$17+$J$4)+約款料金!$C$16,0),ROUNDDOWN(($A106+G$6)*(約款料金!$B$17+$J$4)+約款料金!$B$16,0)))</f>
        <v>44751</v>
      </c>
      <c r="H106" s="360">
        <f>IF(($A106+H$6)&gt;約款料金!$C$9,ROUNDDOWN(($A106+H$6)*(約款料金!$D$17+$J$4)+約款料金!$D$16,0),IF(($A106+H$6)&gt;約款料金!$B$9,ROUNDDOWN(($A106+H$6)*(約款料金!$C$17+$J$4)+約款料金!$C$16,0),ROUNDDOWN(($A106+H$6)*(約款料金!$B$17+$J$4)+約款料金!$B$16,0)))</f>
        <v>44796</v>
      </c>
      <c r="I106" s="360">
        <f>IF(($A106+I$6)&gt;約款料金!$C$9,ROUNDDOWN(($A106+I$6)*(約款料金!$D$17+$J$4)+約款料金!$D$16,0),IF(($A106+I$6)&gt;約款料金!$B$9,ROUNDDOWN(($A106+I$6)*(約款料金!$C$17+$J$4)+約款料金!$C$16,0),ROUNDDOWN(($A106+I$6)*(約款料金!$B$17+$J$4)+約款料金!$B$16,0)))</f>
        <v>44840</v>
      </c>
      <c r="J106" s="360">
        <f>IF(($A106+J$6)&gt;約款料金!$C$9,ROUNDDOWN(($A106+J$6)*(約款料金!$D$17+$J$4)+約款料金!$D$16,0),IF(($A106+J$6)&gt;約款料金!$B$9,ROUNDDOWN(($A106+J$6)*(約款料金!$C$17+$J$4)+約款料金!$C$16,0),ROUNDDOWN(($A106+J$6)*(約款料金!$B$17+$J$4)+約款料金!$B$16,0)))</f>
        <v>44885</v>
      </c>
      <c r="K106" s="366">
        <f>IF(($A106+K$6)&gt;約款料金!$C$9,ROUNDDOWN(($A106+K$6)*(約款料金!$D$17+$J$4)+約款料金!$D$16,0),IF(($A106+K$6)&gt;約款料金!$B$9,ROUNDDOWN(($A106+K$6)*(約款料金!$C$17+$J$4)+約款料金!$C$16,0),ROUNDDOWN(($A106+K$6)*(約款料金!$B$17+$J$4)+約款料金!$B$16,0)))</f>
        <v>44930</v>
      </c>
    </row>
    <row r="107" spans="1:11">
      <c r="A107" s="380">
        <v>94</v>
      </c>
      <c r="B107" s="365">
        <f>IF(($A107+B$6)&gt;約款料金!$C$9,ROUNDDOWN(($A107+B$6)*(約款料金!$D$17+$J$4)+約款料金!$D$16,0),IF(($A107+B$6)&gt;約款料金!$B$9,ROUNDDOWN(($A107+B$6)*(約款料金!$C$17+$J$4)+約款料金!$C$16,0),ROUNDDOWN(($A107+B$6)*(約款料金!$B$17+$J$4)+約款料金!$B$16,0)))</f>
        <v>44975</v>
      </c>
      <c r="C107" s="360">
        <f>IF(($A107+C$6)&gt;約款料金!$C$9,ROUNDDOWN(($A107+C$6)*(約款料金!$D$17+$J$4)+約款料金!$D$16,0),IF(($A107+C$6)&gt;約款料金!$B$9,ROUNDDOWN(($A107+C$6)*(約款料金!$C$17+$J$4)+約款料金!$C$16,0),ROUNDDOWN(($A107+C$6)*(約款料金!$B$17+$J$4)+約款料金!$B$16,0)))</f>
        <v>45020</v>
      </c>
      <c r="D107" s="360">
        <f>IF(($A107+D$6)&gt;約款料金!$C$9,ROUNDDOWN(($A107+D$6)*(約款料金!$D$17+$J$4)+約款料金!$D$16,0),IF(($A107+D$6)&gt;約款料金!$B$9,ROUNDDOWN(($A107+D$6)*(約款料金!$C$17+$J$4)+約款料金!$C$16,0),ROUNDDOWN(($A107+D$6)*(約款料金!$B$17+$J$4)+約款料金!$B$16,0)))</f>
        <v>45065</v>
      </c>
      <c r="E107" s="360">
        <f>IF(($A107+E$6)&gt;約款料金!$C$9,ROUNDDOWN(($A107+E$6)*(約款料金!$D$17+$J$4)+約款料金!$D$16,0),IF(($A107+E$6)&gt;約款料金!$B$9,ROUNDDOWN(($A107+E$6)*(約款料金!$C$17+$J$4)+約款料金!$C$16,0),ROUNDDOWN(($A107+E$6)*(約款料金!$B$17+$J$4)+約款料金!$B$16,0)))</f>
        <v>45110</v>
      </c>
      <c r="F107" s="360">
        <f>IF(($A107+F$6)&gt;約款料金!$C$9,ROUNDDOWN(($A107+F$6)*(約款料金!$D$17+$J$4)+約款料金!$D$16,0),IF(($A107+F$6)&gt;約款料金!$B$9,ROUNDDOWN(($A107+F$6)*(約款料金!$C$17+$J$4)+約款料金!$C$16,0),ROUNDDOWN(($A107+F$6)*(約款料金!$B$17+$J$4)+約款料金!$B$16,0)))</f>
        <v>45155</v>
      </c>
      <c r="G107" s="360">
        <f>IF(($A107+G$6)&gt;約款料金!$C$9,ROUNDDOWN(($A107+G$6)*(約款料金!$D$17+$J$4)+約款料金!$D$16,0),IF(($A107+G$6)&gt;約款料金!$B$9,ROUNDDOWN(($A107+G$6)*(約款料金!$C$17+$J$4)+約款料金!$C$16,0),ROUNDDOWN(($A107+G$6)*(約款料金!$B$17+$J$4)+約款料金!$B$16,0)))</f>
        <v>45200</v>
      </c>
      <c r="H107" s="360">
        <f>IF(($A107+H$6)&gt;約款料金!$C$9,ROUNDDOWN(($A107+H$6)*(約款料金!$D$17+$J$4)+約款料金!$D$16,0),IF(($A107+H$6)&gt;約款料金!$B$9,ROUNDDOWN(($A107+H$6)*(約款料金!$C$17+$J$4)+約款料金!$C$16,0),ROUNDDOWN(($A107+H$6)*(約款料金!$B$17+$J$4)+約款料金!$B$16,0)))</f>
        <v>45245</v>
      </c>
      <c r="I107" s="360">
        <f>IF(($A107+I$6)&gt;約款料金!$C$9,ROUNDDOWN(($A107+I$6)*(約款料金!$D$17+$J$4)+約款料金!$D$16,0),IF(($A107+I$6)&gt;約款料金!$B$9,ROUNDDOWN(($A107+I$6)*(約款料金!$C$17+$J$4)+約款料金!$C$16,0),ROUNDDOWN(($A107+I$6)*(約款料金!$B$17+$J$4)+約款料金!$B$16,0)))</f>
        <v>45290</v>
      </c>
      <c r="J107" s="360">
        <f>IF(($A107+J$6)&gt;約款料金!$C$9,ROUNDDOWN(($A107+J$6)*(約款料金!$D$17+$J$4)+約款料金!$D$16,0),IF(($A107+J$6)&gt;約款料金!$B$9,ROUNDDOWN(($A107+J$6)*(約款料金!$C$17+$J$4)+約款料金!$C$16,0),ROUNDDOWN(($A107+J$6)*(約款料金!$B$17+$J$4)+約款料金!$B$16,0)))</f>
        <v>45334</v>
      </c>
      <c r="K107" s="366">
        <f>IF(($A107+K$6)&gt;約款料金!$C$9,ROUNDDOWN(($A107+K$6)*(約款料金!$D$17+$J$4)+約款料金!$D$16,0),IF(($A107+K$6)&gt;約款料金!$B$9,ROUNDDOWN(($A107+K$6)*(約款料金!$C$17+$J$4)+約款料金!$C$16,0),ROUNDDOWN(($A107+K$6)*(約款料金!$B$17+$J$4)+約款料金!$B$16,0)))</f>
        <v>45379</v>
      </c>
    </row>
    <row r="108" spans="1:11">
      <c r="A108" s="382">
        <v>95</v>
      </c>
      <c r="B108" s="371">
        <f>IF(($A108+B$6)&gt;約款料金!$C$9,ROUNDDOWN(($A108+B$6)*(約款料金!$D$17+$J$4)+約款料金!$D$16,0),IF(($A108+B$6)&gt;約款料金!$B$9,ROUNDDOWN(($A108+B$6)*(約款料金!$C$17+$J$4)+約款料金!$C$16,0),ROUNDDOWN(($A108+B$6)*(約款料金!$B$17+$J$4)+約款料金!$B$16,0)))</f>
        <v>45424</v>
      </c>
      <c r="C108" s="372">
        <f>IF(($A108+C$6)&gt;約款料金!$C$9,ROUNDDOWN(($A108+C$6)*(約款料金!$D$17+$J$4)+約款料金!$D$16,0),IF(($A108+C$6)&gt;約款料金!$B$9,ROUNDDOWN(($A108+C$6)*(約款料金!$C$17+$J$4)+約款料金!$C$16,0),ROUNDDOWN(($A108+C$6)*(約款料金!$B$17+$J$4)+約款料金!$B$16,0)))</f>
        <v>45469</v>
      </c>
      <c r="D108" s="372">
        <f>IF(($A108+D$6)&gt;約款料金!$C$9,ROUNDDOWN(($A108+D$6)*(約款料金!$D$17+$J$4)+約款料金!$D$16,0),IF(($A108+D$6)&gt;約款料金!$B$9,ROUNDDOWN(($A108+D$6)*(約款料金!$C$17+$J$4)+約款料金!$C$16,0),ROUNDDOWN(($A108+D$6)*(約款料金!$B$17+$J$4)+約款料金!$B$16,0)))</f>
        <v>45514</v>
      </c>
      <c r="E108" s="372">
        <f>IF(($A108+E$6)&gt;約款料金!$C$9,ROUNDDOWN(($A108+E$6)*(約款料金!$D$17+$J$4)+約款料金!$D$16,0),IF(($A108+E$6)&gt;約款料金!$B$9,ROUNDDOWN(($A108+E$6)*(約款料金!$C$17+$J$4)+約款料金!$C$16,0),ROUNDDOWN(($A108+E$6)*(約款料金!$B$17+$J$4)+約款料金!$B$16,0)))</f>
        <v>45559</v>
      </c>
      <c r="F108" s="372">
        <f>IF(($A108+F$6)&gt;約款料金!$C$9,ROUNDDOWN(($A108+F$6)*(約款料金!$D$17+$J$4)+約款料金!$D$16,0),IF(($A108+F$6)&gt;約款料金!$B$9,ROUNDDOWN(($A108+F$6)*(約款料金!$C$17+$J$4)+約款料金!$C$16,0),ROUNDDOWN(($A108+F$6)*(約款料金!$B$17+$J$4)+約款料金!$B$16,0)))</f>
        <v>45604</v>
      </c>
      <c r="G108" s="372">
        <f>IF(($A108+G$6)&gt;約款料金!$C$9,ROUNDDOWN(($A108+G$6)*(約款料金!$D$17+$J$4)+約款料金!$D$16,0),IF(($A108+G$6)&gt;約款料金!$B$9,ROUNDDOWN(($A108+G$6)*(約款料金!$C$17+$J$4)+約款料金!$C$16,0),ROUNDDOWN(($A108+G$6)*(約款料金!$B$17+$J$4)+約款料金!$B$16,0)))</f>
        <v>45649</v>
      </c>
      <c r="H108" s="372">
        <f>IF(($A108+H$6)&gt;約款料金!$C$9,ROUNDDOWN(($A108+H$6)*(約款料金!$D$17+$J$4)+約款料金!$D$16,0),IF(($A108+H$6)&gt;約款料金!$B$9,ROUNDDOWN(($A108+H$6)*(約款料金!$C$17+$J$4)+約款料金!$C$16,0),ROUNDDOWN(($A108+H$6)*(約款料金!$B$17+$J$4)+約款料金!$B$16,0)))</f>
        <v>45694</v>
      </c>
      <c r="I108" s="372">
        <f>IF(($A108+I$6)&gt;約款料金!$C$9,ROUNDDOWN(($A108+I$6)*(約款料金!$D$17+$J$4)+約款料金!$D$16,0),IF(($A108+I$6)&gt;約款料金!$B$9,ROUNDDOWN(($A108+I$6)*(約款料金!$C$17+$J$4)+約款料金!$C$16,0),ROUNDDOWN(($A108+I$6)*(約款料金!$B$17+$J$4)+約款料金!$B$16,0)))</f>
        <v>45739</v>
      </c>
      <c r="J108" s="372">
        <f>IF(($A108+J$6)&gt;約款料金!$C$9,ROUNDDOWN(($A108+J$6)*(約款料金!$D$17+$J$4)+約款料金!$D$16,0),IF(($A108+J$6)&gt;約款料金!$B$9,ROUNDDOWN(($A108+J$6)*(約款料金!$C$17+$J$4)+約款料金!$C$16,0),ROUNDDOWN(($A108+J$6)*(約款料金!$B$17+$J$4)+約款料金!$B$16,0)))</f>
        <v>45783</v>
      </c>
      <c r="K108" s="373">
        <f>IF(($A108+K$6)&gt;約款料金!$C$9,ROUNDDOWN(($A108+K$6)*(約款料金!$D$17+$J$4)+約款料金!$D$16,0),IF(($A108+K$6)&gt;約款料金!$B$9,ROUNDDOWN(($A108+K$6)*(約款料金!$C$17+$J$4)+約款料金!$C$16,0),ROUNDDOWN(($A108+K$6)*(約款料金!$B$17+$J$4)+約款料金!$B$16,0)))</f>
        <v>45828</v>
      </c>
    </row>
    <row r="109" spans="1:11">
      <c r="A109" s="379">
        <v>96</v>
      </c>
      <c r="B109" s="365">
        <f>IF(($A109+B$6)&gt;約款料金!$C$9,ROUNDDOWN(($A109+B$6)*(約款料金!$D$17+$J$4)+約款料金!$D$16,0),IF(($A109+B$6)&gt;約款料金!$B$9,ROUNDDOWN(($A109+B$6)*(約款料金!$C$17+$J$4)+約款料金!$C$16,0),ROUNDDOWN(($A109+B$6)*(約款料金!$B$17+$J$4)+約款料金!$B$16,0)))</f>
        <v>45873</v>
      </c>
      <c r="C109" s="360">
        <f>IF(($A109+C$6)&gt;約款料金!$C$9,ROUNDDOWN(($A109+C$6)*(約款料金!$D$17+$J$4)+約款料金!$D$16,0),IF(($A109+C$6)&gt;約款料金!$B$9,ROUNDDOWN(($A109+C$6)*(約款料金!$C$17+$J$4)+約款料金!$C$16,0),ROUNDDOWN(($A109+C$6)*(約款料金!$B$17+$J$4)+約款料金!$B$16,0)))</f>
        <v>45918</v>
      </c>
      <c r="D109" s="360">
        <f>IF(($A109+D$6)&gt;約款料金!$C$9,ROUNDDOWN(($A109+D$6)*(約款料金!$D$17+$J$4)+約款料金!$D$16,0),IF(($A109+D$6)&gt;約款料金!$B$9,ROUNDDOWN(($A109+D$6)*(約款料金!$C$17+$J$4)+約款料金!$C$16,0),ROUNDDOWN(($A109+D$6)*(約款料金!$B$17+$J$4)+約款料金!$B$16,0)))</f>
        <v>45963</v>
      </c>
      <c r="E109" s="360">
        <f>IF(($A109+E$6)&gt;約款料金!$C$9,ROUNDDOWN(($A109+E$6)*(約款料金!$D$17+$J$4)+約款料金!$D$16,0),IF(($A109+E$6)&gt;約款料金!$B$9,ROUNDDOWN(($A109+E$6)*(約款料金!$C$17+$J$4)+約款料金!$C$16,0),ROUNDDOWN(($A109+E$6)*(約款料金!$B$17+$J$4)+約款料金!$B$16,0)))</f>
        <v>46008</v>
      </c>
      <c r="F109" s="360">
        <f>IF(($A109+F$6)&gt;約款料金!$C$9,ROUNDDOWN(($A109+F$6)*(約款料金!$D$17+$J$4)+約款料金!$D$16,0),IF(($A109+F$6)&gt;約款料金!$B$9,ROUNDDOWN(($A109+F$6)*(約款料金!$C$17+$J$4)+約款料金!$C$16,0),ROUNDDOWN(($A109+F$6)*(約款料金!$B$17+$J$4)+約款料金!$B$16,0)))</f>
        <v>46053</v>
      </c>
      <c r="G109" s="360">
        <f>IF(($A109+G$6)&gt;約款料金!$C$9,ROUNDDOWN(($A109+G$6)*(約款料金!$D$17+$J$4)+約款料金!$D$16,0),IF(($A109+G$6)&gt;約款料金!$B$9,ROUNDDOWN(($A109+G$6)*(約款料金!$C$17+$J$4)+約款料金!$C$16,0),ROUNDDOWN(($A109+G$6)*(約款料金!$B$17+$J$4)+約款料金!$B$16,0)))</f>
        <v>46098</v>
      </c>
      <c r="H109" s="360">
        <f>IF(($A109+H$6)&gt;約款料金!$C$9,ROUNDDOWN(($A109+H$6)*(約款料金!$D$17+$J$4)+約款料金!$D$16,0),IF(($A109+H$6)&gt;約款料金!$B$9,ROUNDDOWN(($A109+H$6)*(約款料金!$C$17+$J$4)+約款料金!$C$16,0),ROUNDDOWN(($A109+H$6)*(約款料金!$B$17+$J$4)+約款料金!$B$16,0)))</f>
        <v>46143</v>
      </c>
      <c r="I109" s="360">
        <f>IF(($A109+I$6)&gt;約款料金!$C$9,ROUNDDOWN(($A109+I$6)*(約款料金!$D$17+$J$4)+約款料金!$D$16,0),IF(($A109+I$6)&gt;約款料金!$B$9,ROUNDDOWN(($A109+I$6)*(約款料金!$C$17+$J$4)+約款料金!$C$16,0),ROUNDDOWN(($A109+I$6)*(約款料金!$B$17+$J$4)+約款料金!$B$16,0)))</f>
        <v>46188</v>
      </c>
      <c r="J109" s="360">
        <f>IF(($A109+J$6)&gt;約款料金!$C$9,ROUNDDOWN(($A109+J$6)*(約款料金!$D$17+$J$4)+約款料金!$D$16,0),IF(($A109+J$6)&gt;約款料金!$B$9,ROUNDDOWN(($A109+J$6)*(約款料金!$C$17+$J$4)+約款料金!$C$16,0),ROUNDDOWN(($A109+J$6)*(約款料金!$B$17+$J$4)+約款料金!$B$16,0)))</f>
        <v>46232</v>
      </c>
      <c r="K109" s="366">
        <f>IF(($A109+K$6)&gt;約款料金!$C$9,ROUNDDOWN(($A109+K$6)*(約款料金!$D$17+$J$4)+約款料金!$D$16,0),IF(($A109+K$6)&gt;約款料金!$B$9,ROUNDDOWN(($A109+K$6)*(約款料金!$C$17+$J$4)+約款料金!$C$16,0),ROUNDDOWN(($A109+K$6)*(約款料金!$B$17+$J$4)+約款料金!$B$16,0)))</f>
        <v>46277</v>
      </c>
    </row>
    <row r="110" spans="1:11">
      <c r="A110" s="380">
        <v>97</v>
      </c>
      <c r="B110" s="365">
        <f>IF(($A110+B$6)&gt;約款料金!$C$9,ROUNDDOWN(($A110+B$6)*(約款料金!$D$17+$J$4)+約款料金!$D$16,0),IF(($A110+B$6)&gt;約款料金!$B$9,ROUNDDOWN(($A110+B$6)*(約款料金!$C$17+$J$4)+約款料金!$C$16,0),ROUNDDOWN(($A110+B$6)*(約款料金!$B$17+$J$4)+約款料金!$B$16,0)))</f>
        <v>46322</v>
      </c>
      <c r="C110" s="360">
        <f>IF(($A110+C$6)&gt;約款料金!$C$9,ROUNDDOWN(($A110+C$6)*(約款料金!$D$17+$J$4)+約款料金!$D$16,0),IF(($A110+C$6)&gt;約款料金!$B$9,ROUNDDOWN(($A110+C$6)*(約款料金!$C$17+$J$4)+約款料金!$C$16,0),ROUNDDOWN(($A110+C$6)*(約款料金!$B$17+$J$4)+約款料金!$B$16,0)))</f>
        <v>46367</v>
      </c>
      <c r="D110" s="360">
        <f>IF(($A110+D$6)&gt;約款料金!$C$9,ROUNDDOWN(($A110+D$6)*(約款料金!$D$17+$J$4)+約款料金!$D$16,0),IF(($A110+D$6)&gt;約款料金!$B$9,ROUNDDOWN(($A110+D$6)*(約款料金!$C$17+$J$4)+約款料金!$C$16,0),ROUNDDOWN(($A110+D$6)*(約款料金!$B$17+$J$4)+約款料金!$B$16,0)))</f>
        <v>46412</v>
      </c>
      <c r="E110" s="360">
        <f>IF(($A110+E$6)&gt;約款料金!$C$9,ROUNDDOWN(($A110+E$6)*(約款料金!$D$17+$J$4)+約款料金!$D$16,0),IF(($A110+E$6)&gt;約款料金!$B$9,ROUNDDOWN(($A110+E$6)*(約款料金!$C$17+$J$4)+約款料金!$C$16,0),ROUNDDOWN(($A110+E$6)*(約款料金!$B$17+$J$4)+約款料金!$B$16,0)))</f>
        <v>46457</v>
      </c>
      <c r="F110" s="360">
        <f>IF(($A110+F$6)&gt;約款料金!$C$9,ROUNDDOWN(($A110+F$6)*(約款料金!$D$17+$J$4)+約款料金!$D$16,0),IF(($A110+F$6)&gt;約款料金!$B$9,ROUNDDOWN(($A110+F$6)*(約款料金!$C$17+$J$4)+約款料金!$C$16,0),ROUNDDOWN(($A110+F$6)*(約款料金!$B$17+$J$4)+約款料金!$B$16,0)))</f>
        <v>46502</v>
      </c>
      <c r="G110" s="360">
        <f>IF(($A110+G$6)&gt;約款料金!$C$9,ROUNDDOWN(($A110+G$6)*(約款料金!$D$17+$J$4)+約款料金!$D$16,0),IF(($A110+G$6)&gt;約款料金!$B$9,ROUNDDOWN(($A110+G$6)*(約款料金!$C$17+$J$4)+約款料金!$C$16,0),ROUNDDOWN(($A110+G$6)*(約款料金!$B$17+$J$4)+約款料金!$B$16,0)))</f>
        <v>46547</v>
      </c>
      <c r="H110" s="360">
        <f>IF(($A110+H$6)&gt;約款料金!$C$9,ROUNDDOWN(($A110+H$6)*(約款料金!$D$17+$J$4)+約款料金!$D$16,0),IF(($A110+H$6)&gt;約款料金!$B$9,ROUNDDOWN(($A110+H$6)*(約款料金!$C$17+$J$4)+約款料金!$C$16,0),ROUNDDOWN(($A110+H$6)*(約款料金!$B$17+$J$4)+約款料金!$B$16,0)))</f>
        <v>46592</v>
      </c>
      <c r="I110" s="360">
        <f>IF(($A110+I$6)&gt;約款料金!$C$9,ROUNDDOWN(($A110+I$6)*(約款料金!$D$17+$J$4)+約款料金!$D$16,0),IF(($A110+I$6)&gt;約款料金!$B$9,ROUNDDOWN(($A110+I$6)*(約款料金!$C$17+$J$4)+約款料金!$C$16,0),ROUNDDOWN(($A110+I$6)*(約款料金!$B$17+$J$4)+約款料金!$B$16,0)))</f>
        <v>46637</v>
      </c>
      <c r="J110" s="360">
        <f>IF(($A110+J$6)&gt;約款料金!$C$9,ROUNDDOWN(($A110+J$6)*(約款料金!$D$17+$J$4)+約款料金!$D$16,0),IF(($A110+J$6)&gt;約款料金!$B$9,ROUNDDOWN(($A110+J$6)*(約款料金!$C$17+$J$4)+約款料金!$C$16,0),ROUNDDOWN(($A110+J$6)*(約款料金!$B$17+$J$4)+約款料金!$B$16,0)))</f>
        <v>46681</v>
      </c>
      <c r="K110" s="366">
        <f>IF(($A110+K$6)&gt;約款料金!$C$9,ROUNDDOWN(($A110+K$6)*(約款料金!$D$17+$J$4)+約款料金!$D$16,0),IF(($A110+K$6)&gt;約款料金!$B$9,ROUNDDOWN(($A110+K$6)*(約款料金!$C$17+$J$4)+約款料金!$C$16,0),ROUNDDOWN(($A110+K$6)*(約款料金!$B$17+$J$4)+約款料金!$B$16,0)))</f>
        <v>46726</v>
      </c>
    </row>
    <row r="111" spans="1:11">
      <c r="A111" s="380">
        <v>98</v>
      </c>
      <c r="B111" s="365">
        <f>IF(($A111+B$6)&gt;約款料金!$C$9,ROUNDDOWN(($A111+B$6)*(約款料金!$D$17+$J$4)+約款料金!$D$16,0),IF(($A111+B$6)&gt;約款料金!$B$9,ROUNDDOWN(($A111+B$6)*(約款料金!$C$17+$J$4)+約款料金!$C$16,0),ROUNDDOWN(($A111+B$6)*(約款料金!$B$17+$J$4)+約款料金!$B$16,0)))</f>
        <v>46771</v>
      </c>
      <c r="C111" s="360">
        <f>IF(($A111+C$6)&gt;約款料金!$C$9,ROUNDDOWN(($A111+C$6)*(約款料金!$D$17+$J$4)+約款料金!$D$16,0),IF(($A111+C$6)&gt;約款料金!$B$9,ROUNDDOWN(($A111+C$6)*(約款料金!$C$17+$J$4)+約款料金!$C$16,0),ROUNDDOWN(($A111+C$6)*(約款料金!$B$17+$J$4)+約款料金!$B$16,0)))</f>
        <v>46816</v>
      </c>
      <c r="D111" s="360">
        <f>IF(($A111+D$6)&gt;約款料金!$C$9,ROUNDDOWN(($A111+D$6)*(約款料金!$D$17+$J$4)+約款料金!$D$16,0),IF(($A111+D$6)&gt;約款料金!$B$9,ROUNDDOWN(($A111+D$6)*(約款料金!$C$17+$J$4)+約款料金!$C$16,0),ROUNDDOWN(($A111+D$6)*(約款料金!$B$17+$J$4)+約款料金!$B$16,0)))</f>
        <v>46861</v>
      </c>
      <c r="E111" s="360">
        <f>IF(($A111+E$6)&gt;約款料金!$C$9,ROUNDDOWN(($A111+E$6)*(約款料金!$D$17+$J$4)+約款料金!$D$16,0),IF(($A111+E$6)&gt;約款料金!$B$9,ROUNDDOWN(($A111+E$6)*(約款料金!$C$17+$J$4)+約款料金!$C$16,0),ROUNDDOWN(($A111+E$6)*(約款料金!$B$17+$J$4)+約款料金!$B$16,0)))</f>
        <v>46906</v>
      </c>
      <c r="F111" s="360">
        <f>IF(($A111+F$6)&gt;約款料金!$C$9,ROUNDDOWN(($A111+F$6)*(約款料金!$D$17+$J$4)+約款料金!$D$16,0),IF(($A111+F$6)&gt;約款料金!$B$9,ROUNDDOWN(($A111+F$6)*(約款料金!$C$17+$J$4)+約款料金!$C$16,0),ROUNDDOWN(($A111+F$6)*(約款料金!$B$17+$J$4)+約款料金!$B$16,0)))</f>
        <v>46951</v>
      </c>
      <c r="G111" s="360">
        <f>IF(($A111+G$6)&gt;約款料金!$C$9,ROUNDDOWN(($A111+G$6)*(約款料金!$D$17+$J$4)+約款料金!$D$16,0),IF(($A111+G$6)&gt;約款料金!$B$9,ROUNDDOWN(($A111+G$6)*(約款料金!$C$17+$J$4)+約款料金!$C$16,0),ROUNDDOWN(($A111+G$6)*(約款料金!$B$17+$J$4)+約款料金!$B$16,0)))</f>
        <v>46996</v>
      </c>
      <c r="H111" s="360">
        <f>IF(($A111+H$6)&gt;約款料金!$C$9,ROUNDDOWN(($A111+H$6)*(約款料金!$D$17+$J$4)+約款料金!$D$16,0),IF(($A111+H$6)&gt;約款料金!$B$9,ROUNDDOWN(($A111+H$6)*(約款料金!$C$17+$J$4)+約款料金!$C$16,0),ROUNDDOWN(($A111+H$6)*(約款料金!$B$17+$J$4)+約款料金!$B$16,0)))</f>
        <v>47041</v>
      </c>
      <c r="I111" s="360">
        <f>IF(($A111+I$6)&gt;約款料金!$C$9,ROUNDDOWN(($A111+I$6)*(約款料金!$D$17+$J$4)+約款料金!$D$16,0),IF(($A111+I$6)&gt;約款料金!$B$9,ROUNDDOWN(($A111+I$6)*(約款料金!$C$17+$J$4)+約款料金!$C$16,0),ROUNDDOWN(($A111+I$6)*(約款料金!$B$17+$J$4)+約款料金!$B$16,0)))</f>
        <v>47086</v>
      </c>
      <c r="J111" s="360">
        <f>IF(($A111+J$6)&gt;約款料金!$C$9,ROUNDDOWN(($A111+J$6)*(約款料金!$D$17+$J$4)+約款料金!$D$16,0),IF(($A111+J$6)&gt;約款料金!$B$9,ROUNDDOWN(($A111+J$6)*(約款料金!$C$17+$J$4)+約款料金!$C$16,0),ROUNDDOWN(($A111+J$6)*(約款料金!$B$17+$J$4)+約款料金!$B$16,0)))</f>
        <v>47130</v>
      </c>
      <c r="K111" s="366">
        <f>IF(($A111+K$6)&gt;約款料金!$C$9,ROUNDDOWN(($A111+K$6)*(約款料金!$D$17+$J$4)+約款料金!$D$16,0),IF(($A111+K$6)&gt;約款料金!$B$9,ROUNDDOWN(($A111+K$6)*(約款料金!$C$17+$J$4)+約款料金!$C$16,0),ROUNDDOWN(($A111+K$6)*(約款料金!$B$17+$J$4)+約款料金!$B$16,0)))</f>
        <v>47175</v>
      </c>
    </row>
    <row r="112" spans="1:11" ht="14.5" thickBot="1">
      <c r="A112" s="384">
        <v>99</v>
      </c>
      <c r="B112" s="361">
        <f>IF(($A112+B$6)&gt;約款料金!$C$9,ROUNDDOWN(($A112+B$6)*(約款料金!$D$17+$J$4)+約款料金!$D$16,0),IF(($A112+B$6)&gt;約款料金!$B$9,ROUNDDOWN(($A112+B$6)*(約款料金!$C$17+$J$4)+約款料金!$C$16,0),ROUNDDOWN(($A112+B$6)*(約款料金!$B$17+$J$4)+約款料金!$B$16,0)))</f>
        <v>47220</v>
      </c>
      <c r="C112" s="362">
        <f>IF(($A112+C$6)&gt;約款料金!$C$9,ROUNDDOWN(($A112+C$6)*(約款料金!$D$17+$J$4)+約款料金!$D$16,0),IF(($A112+C$6)&gt;約款料金!$B$9,ROUNDDOWN(($A112+C$6)*(約款料金!$C$17+$J$4)+約款料金!$C$16,0),ROUNDDOWN(($A112+C$6)*(約款料金!$B$17+$J$4)+約款料金!$B$16,0)))</f>
        <v>47265</v>
      </c>
      <c r="D112" s="362">
        <f>IF(($A112+D$6)&gt;約款料金!$C$9,ROUNDDOWN(($A112+D$6)*(約款料金!$D$17+$J$4)+約款料金!$D$16,0),IF(($A112+D$6)&gt;約款料金!$B$9,ROUNDDOWN(($A112+D$6)*(約款料金!$C$17+$J$4)+約款料金!$C$16,0),ROUNDDOWN(($A112+D$6)*(約款料金!$B$17+$J$4)+約款料金!$B$16,0)))</f>
        <v>47310</v>
      </c>
      <c r="E112" s="362">
        <f>IF(($A112+E$6)&gt;約款料金!$C$9,ROUNDDOWN(($A112+E$6)*(約款料金!$D$17+$J$4)+約款料金!$D$16,0),IF(($A112+E$6)&gt;約款料金!$B$9,ROUNDDOWN(($A112+E$6)*(約款料金!$C$17+$J$4)+約款料金!$C$16,0),ROUNDDOWN(($A112+E$6)*(約款料金!$B$17+$J$4)+約款料金!$B$16,0)))</f>
        <v>47355</v>
      </c>
      <c r="F112" s="362">
        <f>IF(($A112+F$6)&gt;約款料金!$C$9,ROUNDDOWN(($A112+F$6)*(約款料金!$D$17+$J$4)+約款料金!$D$16,0),IF(($A112+F$6)&gt;約款料金!$B$9,ROUNDDOWN(($A112+F$6)*(約款料金!$C$17+$J$4)+約款料金!$C$16,0),ROUNDDOWN(($A112+F$6)*(約款料金!$B$17+$J$4)+約款料金!$B$16,0)))</f>
        <v>47400</v>
      </c>
      <c r="G112" s="362">
        <f>IF(($A112+G$6)&gt;約款料金!$C$9,ROUNDDOWN(($A112+G$6)*(約款料金!$D$17+$J$4)+約款料金!$D$16,0),IF(($A112+G$6)&gt;約款料金!$B$9,ROUNDDOWN(($A112+G$6)*(約款料金!$C$17+$J$4)+約款料金!$C$16,0),ROUNDDOWN(($A112+G$6)*(約款料金!$B$17+$J$4)+約款料金!$B$16,0)))</f>
        <v>47445</v>
      </c>
      <c r="H112" s="362">
        <f>IF(($A112+H$6)&gt;約款料金!$C$9,ROUNDDOWN(($A112+H$6)*(約款料金!$D$17+$J$4)+約款料金!$D$16,0),IF(($A112+H$6)&gt;約款料金!$B$9,ROUNDDOWN(($A112+H$6)*(約款料金!$C$17+$J$4)+約款料金!$C$16,0),ROUNDDOWN(($A112+H$6)*(約款料金!$B$17+$J$4)+約款料金!$B$16,0)))</f>
        <v>47490</v>
      </c>
      <c r="I112" s="362">
        <f>IF(($A112+I$6)&gt;約款料金!$C$9,ROUNDDOWN(($A112+I$6)*(約款料金!$D$17+$J$4)+約款料金!$D$16,0),IF(($A112+I$6)&gt;約款料金!$B$9,ROUNDDOWN(($A112+I$6)*(約款料金!$C$17+$J$4)+約款料金!$C$16,0),ROUNDDOWN(($A112+I$6)*(約款料金!$B$17+$J$4)+約款料金!$B$16,0)))</f>
        <v>47535</v>
      </c>
      <c r="J112" s="362">
        <f>IF(($A112+J$6)&gt;約款料金!$C$9,ROUNDDOWN(($A112+J$6)*(約款料金!$D$17+$J$4)+約款料金!$D$16,0),IF(($A112+J$6)&gt;約款料金!$B$9,ROUNDDOWN(($A112+J$6)*(約款料金!$C$17+$J$4)+約款料金!$C$16,0),ROUNDDOWN(($A112+J$6)*(約款料金!$B$17+$J$4)+約款料金!$B$16,0)))</f>
        <v>47580</v>
      </c>
      <c r="K112" s="367">
        <f>IF(($A112+K$6)&gt;約款料金!$C$9,ROUNDDOWN(($A112+K$6)*(約款料金!$D$17+$J$4)+約款料金!$D$16,0),IF(($A112+K$6)&gt;約款料金!$B$9,ROUNDDOWN(($A112+K$6)*(約款料金!$C$17+$J$4)+約款料金!$C$16,0),ROUNDDOWN(($A112+K$6)*(約款料金!$B$17+$J$4)+約款料金!$B$16,0)))</f>
        <v>47624</v>
      </c>
    </row>
    <row r="113" spans="10:11">
      <c r="J113" s="723"/>
      <c r="K113" s="721"/>
    </row>
  </sheetData>
  <sheetProtection sheet="1"/>
  <mergeCells count="4">
    <mergeCell ref="A2:K2"/>
    <mergeCell ref="J4:K4"/>
    <mergeCell ref="A4:C5"/>
    <mergeCell ref="D3:I3"/>
  </mergeCells>
  <phoneticPr fontId="22"/>
  <pageMargins left="0.61" right="0.41" top="0.79" bottom="0.52" header="0.51200000000000001" footer="0.51200000000000001"/>
  <pageSetup paperSize="9" fitToHeight="2" orientation="portrait" r:id="rId1"/>
  <headerFooter alignWithMargins="0"/>
  <legacyDrawing r:id="rId2"/>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19">
    <tabColor indexed="14"/>
    <pageSetUpPr autoPageBreaks="0" fitToPage="1"/>
  </sheetPr>
  <dimension ref="A1:M42"/>
  <sheetViews>
    <sheetView showGridLines="0" zoomScaleNormal="100" workbookViewId="0"/>
  </sheetViews>
  <sheetFormatPr defaultColWidth="10.75" defaultRowHeight="14"/>
  <cols>
    <col min="1" max="1" width="10.75" style="454" customWidth="1"/>
    <col min="2" max="2" width="30" style="454" customWidth="1"/>
    <col min="3" max="3" width="30.75" style="454" customWidth="1"/>
    <col min="4" max="4" width="8.08203125" style="454" customWidth="1"/>
    <col min="5" max="5" width="16.58203125" style="454" customWidth="1"/>
    <col min="6" max="6" width="5.08203125" style="454" customWidth="1"/>
    <col min="7" max="16384" width="10.75" style="454"/>
  </cols>
  <sheetData>
    <row r="1" spans="1:13">
      <c r="A1" s="453"/>
      <c r="B1" s="453"/>
      <c r="C1" s="453"/>
      <c r="D1" s="453"/>
      <c r="E1" s="453"/>
      <c r="F1" s="453"/>
      <c r="G1" s="453"/>
      <c r="H1" s="453"/>
    </row>
    <row r="2" spans="1:13" ht="23.5">
      <c r="A2" s="453"/>
      <c r="B2" s="455" t="s">
        <v>924</v>
      </c>
      <c r="C2" s="456"/>
      <c r="D2" s="456"/>
      <c r="E2" s="456"/>
      <c r="F2" s="456"/>
      <c r="G2" s="457"/>
      <c r="H2" s="457"/>
    </row>
    <row r="3" spans="1:13" ht="21">
      <c r="A3" s="453"/>
      <c r="B3" s="458"/>
      <c r="C3" s="456"/>
      <c r="D3" s="456"/>
      <c r="E3" s="456"/>
      <c r="F3" s="456"/>
      <c r="G3" s="457"/>
      <c r="H3" s="457"/>
    </row>
    <row r="4" spans="1:13" ht="21.5" thickBot="1">
      <c r="A4" s="453"/>
      <c r="B4" s="458" t="s">
        <v>893</v>
      </c>
      <c r="C4" s="456"/>
      <c r="D4" s="456"/>
      <c r="E4" s="456"/>
      <c r="F4" s="456"/>
      <c r="G4" s="457"/>
      <c r="H4" s="457"/>
      <c r="I4" s="454" t="s">
        <v>1087</v>
      </c>
    </row>
    <row r="5" spans="1:13" ht="24" customHeight="1" thickTop="1" thickBot="1">
      <c r="A5" s="453"/>
      <c r="B5" s="459" t="s">
        <v>915</v>
      </c>
      <c r="C5" s="460" t="s">
        <v>916</v>
      </c>
      <c r="D5" s="461"/>
      <c r="E5" s="461"/>
      <c r="F5" s="461"/>
      <c r="G5" s="959"/>
      <c r="H5" s="963"/>
      <c r="I5" s="757" t="s">
        <v>946</v>
      </c>
      <c r="J5" s="758" t="s">
        <v>944</v>
      </c>
      <c r="K5" s="759" t="s">
        <v>945</v>
      </c>
    </row>
    <row r="6" spans="1:13" ht="24" customHeight="1">
      <c r="A6" s="453"/>
      <c r="B6" s="463" t="s">
        <v>917</v>
      </c>
      <c r="C6" s="464" t="s">
        <v>918</v>
      </c>
      <c r="D6" s="465"/>
      <c r="E6" s="466">
        <f>1.5*SUM(基本入力!C60)*12</f>
        <v>4410</v>
      </c>
      <c r="F6" s="467" t="s">
        <v>894</v>
      </c>
      <c r="G6" s="960"/>
      <c r="H6" s="965">
        <v>1</v>
      </c>
      <c r="I6" s="760" t="s">
        <v>592</v>
      </c>
      <c r="J6" s="531">
        <v>12</v>
      </c>
      <c r="K6" s="761">
        <v>11</v>
      </c>
      <c r="L6" s="769" t="str">
        <f>IF(基本入力!J$5=1,1,"")</f>
        <v/>
      </c>
      <c r="M6" s="673"/>
    </row>
    <row r="7" spans="1:13" ht="24" customHeight="1">
      <c r="A7" s="453"/>
      <c r="B7" s="463" t="s">
        <v>919</v>
      </c>
      <c r="C7" s="464" t="s">
        <v>895</v>
      </c>
      <c r="D7" s="465"/>
      <c r="E7" s="466">
        <f>TRUNC((E10-(E6+E8+E9))*100)/100</f>
        <v>21394.38</v>
      </c>
      <c r="F7" s="467" t="s">
        <v>896</v>
      </c>
      <c r="G7" s="961"/>
      <c r="H7" s="966" t="s">
        <v>1089</v>
      </c>
      <c r="I7" s="762" t="s">
        <v>936</v>
      </c>
      <c r="J7" s="532">
        <v>12</v>
      </c>
      <c r="K7" s="763">
        <v>9</v>
      </c>
      <c r="L7" s="769" t="str">
        <f>IF(AND(基本入力!J$5&gt;=2,基本入力!J$5&lt;=7),2,"")</f>
        <v/>
      </c>
      <c r="M7" s="673"/>
    </row>
    <row r="8" spans="1:13" ht="24" customHeight="1">
      <c r="A8" s="453"/>
      <c r="B8" s="463" t="s">
        <v>920</v>
      </c>
      <c r="C8" s="464" t="s">
        <v>897</v>
      </c>
      <c r="D8" s="771">
        <f>CHOOSE(L16,J6,J7,J8,J9,J10,J11,J12,J13,J14,J15)/100</f>
        <v>0.2</v>
      </c>
      <c r="E8" s="466">
        <f>TRUNC(E10*D8*100)/100</f>
        <v>7702.8</v>
      </c>
      <c r="F8" s="467" t="s">
        <v>898</v>
      </c>
      <c r="G8" s="960"/>
      <c r="H8" s="965" t="s">
        <v>43</v>
      </c>
      <c r="I8" s="762" t="s">
        <v>935</v>
      </c>
      <c r="J8" s="532">
        <v>20</v>
      </c>
      <c r="K8" s="763">
        <v>13</v>
      </c>
      <c r="L8" s="769">
        <f>IF(AND(基本入力!J$5&gt;=8,基本入力!J$5&lt;=18),3,"")</f>
        <v>3</v>
      </c>
      <c r="M8" s="673"/>
    </row>
    <row r="9" spans="1:13" ht="24" customHeight="1">
      <c r="A9" s="453"/>
      <c r="B9" s="463" t="s">
        <v>921</v>
      </c>
      <c r="C9" s="464" t="s">
        <v>899</v>
      </c>
      <c r="D9" s="771">
        <f>CHOOSE(L16,K6,K7,K8,K9,K10,K11,K12,K13,K14,K15)/100</f>
        <v>0.13</v>
      </c>
      <c r="E9" s="466">
        <f>TRUNC(E10*D9*100)/100</f>
        <v>5006.82</v>
      </c>
      <c r="F9" s="467" t="s">
        <v>900</v>
      </c>
      <c r="G9" s="960"/>
      <c r="H9" s="965" t="s">
        <v>1090</v>
      </c>
      <c r="I9" s="762" t="s">
        <v>937</v>
      </c>
      <c r="J9" s="532">
        <v>17</v>
      </c>
      <c r="K9" s="763">
        <v>13</v>
      </c>
      <c r="L9" s="769" t="str">
        <f>IF(AND(基本入力!J$5&gt;=21,基本入力!J$5&lt;=23),4,"")</f>
        <v/>
      </c>
      <c r="M9" s="673"/>
    </row>
    <row r="10" spans="1:13" ht="24" customHeight="1" thickBot="1">
      <c r="A10" s="453"/>
      <c r="B10" s="463" t="s">
        <v>901</v>
      </c>
      <c r="C10" s="464"/>
      <c r="D10" s="465"/>
      <c r="E10" s="466">
        <f>投資額!G6</f>
        <v>38514</v>
      </c>
      <c r="F10" s="467" t="s">
        <v>902</v>
      </c>
      <c r="G10" s="960"/>
      <c r="H10" s="965" t="s">
        <v>1091</v>
      </c>
      <c r="I10" s="762" t="s">
        <v>938</v>
      </c>
      <c r="J10" s="532">
        <v>16</v>
      </c>
      <c r="K10" s="763">
        <v>4</v>
      </c>
      <c r="L10" s="769" t="str">
        <f>IF(AND(基本入力!J$5&gt;=19,基本入力!J$5&lt;=20),5,"")</f>
        <v/>
      </c>
      <c r="M10" s="673"/>
    </row>
    <row r="11" spans="1:13" ht="24" customHeight="1" thickTop="1">
      <c r="A11" s="453"/>
      <c r="B11" s="468"/>
      <c r="C11" s="468"/>
      <c r="D11" s="468"/>
      <c r="E11" s="469"/>
      <c r="F11" s="468"/>
      <c r="G11" s="962"/>
      <c r="H11" s="965" t="s">
        <v>1092</v>
      </c>
      <c r="I11" s="762" t="s">
        <v>939</v>
      </c>
      <c r="J11" s="532">
        <v>19</v>
      </c>
      <c r="K11" s="763">
        <v>14</v>
      </c>
      <c r="L11" s="769" t="str">
        <f>IF(AND(基本入力!J$5&gt;=24,基本入力!J$5&lt;=30),6,"")</f>
        <v/>
      </c>
      <c r="M11" s="673"/>
    </row>
    <row r="12" spans="1:13" ht="24" customHeight="1" thickBot="1">
      <c r="A12" s="453"/>
      <c r="B12" s="470" t="s">
        <v>903</v>
      </c>
      <c r="C12" s="471"/>
      <c r="D12" s="471"/>
      <c r="E12" s="472"/>
      <c r="F12" s="471"/>
      <c r="G12" s="962"/>
      <c r="H12" s="965" t="s">
        <v>1093</v>
      </c>
      <c r="I12" s="762" t="s">
        <v>940</v>
      </c>
      <c r="J12" s="532">
        <v>12</v>
      </c>
      <c r="K12" s="763">
        <v>4</v>
      </c>
      <c r="L12" s="769" t="str">
        <f>IF(AND(基本入力!J$5&gt;=31,基本入力!J$5&lt;=35),7,"")</f>
        <v/>
      </c>
      <c r="M12" s="673"/>
    </row>
    <row r="13" spans="1:13" ht="24" customHeight="1" thickTop="1">
      <c r="A13" s="453"/>
      <c r="B13" s="459" t="s">
        <v>915</v>
      </c>
      <c r="C13" s="460" t="s">
        <v>904</v>
      </c>
      <c r="D13" s="461"/>
      <c r="E13" s="461"/>
      <c r="F13" s="461"/>
      <c r="G13" s="960"/>
      <c r="H13" s="965" t="s">
        <v>1094</v>
      </c>
      <c r="I13" s="762" t="s">
        <v>941</v>
      </c>
      <c r="J13" s="532">
        <v>11</v>
      </c>
      <c r="K13" s="763">
        <v>2</v>
      </c>
      <c r="L13" s="769" t="str">
        <f>IF(AND(基本入力!J$5&gt;=36,基本入力!J$5&lt;=39),8,"")</f>
        <v/>
      </c>
      <c r="M13" s="673"/>
    </row>
    <row r="14" spans="1:13" ht="24" customHeight="1">
      <c r="A14" s="453"/>
      <c r="B14" s="463" t="s">
        <v>917</v>
      </c>
      <c r="C14" s="464" t="s">
        <v>905</v>
      </c>
      <c r="D14" s="465"/>
      <c r="E14" s="466">
        <f>E6</f>
        <v>4410</v>
      </c>
      <c r="F14" s="465"/>
      <c r="G14" s="960"/>
      <c r="H14" s="965" t="s">
        <v>1095</v>
      </c>
      <c r="I14" s="762" t="s">
        <v>942</v>
      </c>
      <c r="J14" s="532">
        <v>12</v>
      </c>
      <c r="K14" s="763">
        <v>2</v>
      </c>
      <c r="L14" s="769" t="str">
        <f>IF(AND(基本入力!J$5&gt;=40,基本入力!J$5&lt;=46),9,"")</f>
        <v/>
      </c>
      <c r="M14" s="673"/>
    </row>
    <row r="15" spans="1:13" ht="24" customHeight="1" thickBot="1">
      <c r="A15" s="453"/>
      <c r="B15" s="463" t="s">
        <v>919</v>
      </c>
      <c r="C15" s="464" t="s">
        <v>906</v>
      </c>
      <c r="D15" s="473">
        <v>0.7</v>
      </c>
      <c r="E15" s="466">
        <f>TRUNC(E7*D15*100)/100</f>
        <v>14976.06</v>
      </c>
      <c r="F15" s="465"/>
      <c r="G15" s="960"/>
      <c r="H15" s="965">
        <v>47</v>
      </c>
      <c r="I15" s="764" t="s">
        <v>943</v>
      </c>
      <c r="J15" s="765">
        <v>7</v>
      </c>
      <c r="K15" s="766">
        <v>1</v>
      </c>
      <c r="L15" s="769" t="str">
        <f>IF(基本入力!J$5=47,10,"")</f>
        <v/>
      </c>
      <c r="M15" s="673"/>
    </row>
    <row r="16" spans="1:13" ht="24" customHeight="1" thickTop="1">
      <c r="A16" s="453"/>
      <c r="B16" s="463" t="s">
        <v>920</v>
      </c>
      <c r="C16" s="464" t="s">
        <v>907</v>
      </c>
      <c r="D16" s="473">
        <v>0.5</v>
      </c>
      <c r="E16" s="466">
        <f>TRUNC(E8*D16*100)/100</f>
        <v>3851.4</v>
      </c>
      <c r="F16" s="465"/>
      <c r="G16" s="462"/>
      <c r="H16" s="964"/>
      <c r="I16" s="2114" t="s">
        <v>50</v>
      </c>
      <c r="J16" s="2114"/>
      <c r="K16" s="2114"/>
      <c r="L16" s="768">
        <f>SUM(L6:L15)</f>
        <v>3</v>
      </c>
    </row>
    <row r="17" spans="1:11" ht="24" customHeight="1">
      <c r="A17" s="453"/>
      <c r="B17" s="463" t="s">
        <v>921</v>
      </c>
      <c r="C17" s="464" t="s">
        <v>908</v>
      </c>
      <c r="D17" s="473">
        <f>IF('参考料金（入力あり）'!E21=0,0.4,'参考料金（入力あり）'!E21)</f>
        <v>0.4</v>
      </c>
      <c r="E17" s="466">
        <f>TRUNC(E9*D17*100)/100</f>
        <v>2002.72</v>
      </c>
      <c r="F17" s="465"/>
      <c r="G17" s="462"/>
      <c r="H17" s="964"/>
      <c r="I17" s="2115"/>
      <c r="J17" s="2115"/>
      <c r="K17" s="2115"/>
    </row>
    <row r="18" spans="1:11" ht="24" customHeight="1" thickBot="1">
      <c r="A18" s="453"/>
      <c r="B18" s="463" t="s">
        <v>909</v>
      </c>
      <c r="C18" s="464"/>
      <c r="D18" s="465"/>
      <c r="E18" s="466">
        <f>SUM(E14:E17)</f>
        <v>25240.18</v>
      </c>
      <c r="F18" s="465"/>
      <c r="G18" s="462"/>
      <c r="H18" s="964"/>
      <c r="I18" s="2115"/>
      <c r="J18" s="2115"/>
      <c r="K18" s="2115"/>
    </row>
    <row r="19" spans="1:11" ht="19.5" thickTop="1">
      <c r="A19" s="453"/>
      <c r="B19" s="474"/>
      <c r="C19" s="474"/>
      <c r="D19" s="474"/>
      <c r="E19" s="475"/>
      <c r="F19" s="474"/>
      <c r="G19" s="457"/>
      <c r="H19" s="457"/>
    </row>
    <row r="20" spans="1:11" ht="19">
      <c r="A20" s="453"/>
      <c r="B20" s="476" t="s">
        <v>922</v>
      </c>
      <c r="C20" s="477">
        <f>総括表!D21</f>
        <v>22994154.635000002</v>
      </c>
      <c r="D20" s="2126" t="s">
        <v>934</v>
      </c>
      <c r="E20" s="2125">
        <f>TRUNC(C20/C21*100)/100</f>
        <v>911.01</v>
      </c>
      <c r="F20" s="476"/>
      <c r="G20" s="457"/>
      <c r="H20" s="457"/>
    </row>
    <row r="21" spans="1:11" ht="19">
      <c r="A21" s="453"/>
      <c r="B21" s="476" t="s">
        <v>910</v>
      </c>
      <c r="C21" s="478">
        <f>E18</f>
        <v>25240.18</v>
      </c>
      <c r="D21" s="2126"/>
      <c r="E21" s="2125"/>
      <c r="F21" s="476"/>
      <c r="G21" s="457"/>
      <c r="H21" s="457"/>
    </row>
    <row r="22" spans="1:11" ht="16.5">
      <c r="A22" s="453"/>
      <c r="B22" s="456"/>
      <c r="C22" s="456"/>
      <c r="D22" s="456"/>
      <c r="E22" s="456"/>
      <c r="F22" s="456"/>
      <c r="G22" s="457"/>
      <c r="H22" s="457"/>
    </row>
    <row r="23" spans="1:11" ht="21">
      <c r="A23" s="453"/>
      <c r="B23" s="458" t="s">
        <v>923</v>
      </c>
      <c r="C23" s="458"/>
      <c r="D23" s="458" t="s">
        <v>911</v>
      </c>
      <c r="E23" s="458">
        <f>TRUNC(E20*1.5*100)/100</f>
        <v>1366.51</v>
      </c>
      <c r="F23" s="458" t="s">
        <v>163</v>
      </c>
      <c r="G23" s="457"/>
      <c r="H23" s="457"/>
    </row>
    <row r="24" spans="1:11" ht="21">
      <c r="A24" s="453"/>
      <c r="B24" s="458" t="s">
        <v>919</v>
      </c>
      <c r="C24" s="458" t="s">
        <v>912</v>
      </c>
      <c r="D24" s="479">
        <f>D15</f>
        <v>0.7</v>
      </c>
      <c r="E24" s="458">
        <f>TRUNC(E20*D$24*0.1*100)/100</f>
        <v>63.77</v>
      </c>
      <c r="F24" s="458" t="s">
        <v>163</v>
      </c>
      <c r="G24" s="457"/>
      <c r="H24" s="457"/>
    </row>
    <row r="25" spans="1:11" ht="21">
      <c r="A25" s="453"/>
      <c r="B25" s="458" t="s">
        <v>920</v>
      </c>
      <c r="C25" s="458" t="s">
        <v>913</v>
      </c>
      <c r="D25" s="479">
        <f>D16</f>
        <v>0.5</v>
      </c>
      <c r="E25" s="458">
        <f>TRUNC(E20*D25*0.1*100)/100</f>
        <v>45.55</v>
      </c>
      <c r="F25" s="458" t="s">
        <v>163</v>
      </c>
      <c r="G25" s="457"/>
      <c r="H25" s="457"/>
    </row>
    <row r="26" spans="1:11" ht="21">
      <c r="A26" s="453"/>
      <c r="B26" s="458" t="s">
        <v>921</v>
      </c>
      <c r="C26" s="458" t="s">
        <v>914</v>
      </c>
      <c r="D26" s="479">
        <f>IF(E9=0,D16,D17)</f>
        <v>0.4</v>
      </c>
      <c r="E26" s="458">
        <f>TRUNC(E20*D26*0.1*100)/100</f>
        <v>36.44</v>
      </c>
      <c r="F26" s="458" t="s">
        <v>163</v>
      </c>
      <c r="G26" s="457"/>
      <c r="H26" s="457"/>
    </row>
    <row r="27" spans="1:11" ht="21">
      <c r="A27" s="453"/>
      <c r="B27" s="458"/>
      <c r="C27" s="458"/>
      <c r="D27" s="458"/>
      <c r="E27" s="458"/>
      <c r="F27" s="458"/>
      <c r="G27" s="457"/>
      <c r="H27" s="457"/>
    </row>
    <row r="28" spans="1:11" ht="21">
      <c r="A28" s="453"/>
      <c r="B28" s="458"/>
      <c r="C28" s="480" t="s">
        <v>947</v>
      </c>
      <c r="D28" s="458"/>
      <c r="E28" s="481">
        <f>ROUNDDOWN(E24*85+E23,2)</f>
        <v>6786.96</v>
      </c>
      <c r="F28" s="458" t="s">
        <v>163</v>
      </c>
      <c r="G28" s="457"/>
      <c r="H28" s="457"/>
    </row>
    <row r="29" spans="1:11" ht="21">
      <c r="A29" s="453"/>
      <c r="B29" s="458"/>
      <c r="C29" s="480" t="s">
        <v>948</v>
      </c>
      <c r="D29" s="458"/>
      <c r="E29" s="481">
        <f>ROUNDDOWN(E24*135+E23,2)</f>
        <v>9975.4599999999991</v>
      </c>
      <c r="F29" s="458" t="s">
        <v>163</v>
      </c>
      <c r="G29" s="457"/>
      <c r="H29" s="457"/>
    </row>
    <row r="30" spans="1:11" ht="16.5">
      <c r="A30" s="453"/>
      <c r="B30" s="457"/>
      <c r="C30" s="457"/>
      <c r="D30" s="457"/>
      <c r="E30" s="457"/>
      <c r="F30" s="457"/>
      <c r="G30" s="457"/>
      <c r="H30" s="457"/>
    </row>
    <row r="31" spans="1:11" ht="17" thickBot="1">
      <c r="A31" s="453"/>
      <c r="B31" s="457"/>
      <c r="C31" s="457"/>
      <c r="D31" s="457"/>
      <c r="E31" s="457"/>
      <c r="F31" s="457"/>
      <c r="G31" s="457"/>
      <c r="H31" s="457"/>
    </row>
    <row r="32" spans="1:11" ht="24" customHeight="1" thickTop="1">
      <c r="B32" s="752" t="s">
        <v>952</v>
      </c>
      <c r="C32" s="753" t="s">
        <v>949</v>
      </c>
      <c r="D32" s="2127" t="s">
        <v>950</v>
      </c>
      <c r="E32" s="2128"/>
      <c r="F32" s="2129"/>
    </row>
    <row r="33" spans="2:8" ht="24" customHeight="1">
      <c r="B33" s="754" t="s">
        <v>951</v>
      </c>
      <c r="C33" s="850">
        <f>E23</f>
        <v>1366.51</v>
      </c>
      <c r="D33" s="2130"/>
      <c r="E33" s="2131"/>
      <c r="F33" s="2132"/>
    </row>
    <row r="34" spans="2:8" ht="24" customHeight="1">
      <c r="B34" s="754" t="s">
        <v>953</v>
      </c>
      <c r="C34" s="689">
        <f>E23</f>
        <v>1366.51</v>
      </c>
      <c r="D34" s="2116">
        <f>E24</f>
        <v>63.77</v>
      </c>
      <c r="E34" s="2117"/>
      <c r="F34" s="2118"/>
    </row>
    <row r="35" spans="2:8" ht="24" customHeight="1">
      <c r="B35" s="754" t="s">
        <v>954</v>
      </c>
      <c r="C35" s="690">
        <f>(15-1.5)*E24*10+C34</f>
        <v>9975.4600000000009</v>
      </c>
      <c r="D35" s="2119">
        <f>E25</f>
        <v>45.55</v>
      </c>
      <c r="E35" s="2120"/>
      <c r="F35" s="2121"/>
    </row>
    <row r="36" spans="2:8" ht="24" customHeight="1" thickBot="1">
      <c r="B36" s="755" t="s">
        <v>955</v>
      </c>
      <c r="C36" s="756">
        <f>D35*10*(30-15)+C35</f>
        <v>16807.96</v>
      </c>
      <c r="D36" s="2122">
        <f>E26</f>
        <v>36.44</v>
      </c>
      <c r="E36" s="2123"/>
      <c r="F36" s="2124"/>
    </row>
    <row r="37" spans="2:8" ht="24" customHeight="1" thickTop="1">
      <c r="B37" s="533"/>
      <c r="C37" s="534"/>
      <c r="D37" s="535"/>
      <c r="E37" s="535"/>
      <c r="F37" s="535"/>
    </row>
    <row r="38" spans="2:8" ht="24" customHeight="1" thickBot="1">
      <c r="B38" s="530" t="s">
        <v>1086</v>
      </c>
    </row>
    <row r="39" spans="2:8" ht="24" customHeight="1" thickTop="1">
      <c r="B39" s="851" t="s">
        <v>1083</v>
      </c>
      <c r="C39" s="885">
        <v>1</v>
      </c>
      <c r="D39" s="852" t="s">
        <v>1135</v>
      </c>
      <c r="E39" s="860">
        <f>ROUNDDOWN(C33*C39,0)</f>
        <v>1366</v>
      </c>
      <c r="F39" s="857" t="s">
        <v>163</v>
      </c>
      <c r="G39" s="861" t="s">
        <v>1136</v>
      </c>
      <c r="H39" s="861"/>
    </row>
    <row r="40" spans="2:8" ht="24" customHeight="1">
      <c r="B40" s="754" t="s">
        <v>1084</v>
      </c>
      <c r="C40" s="884">
        <v>0.9</v>
      </c>
      <c r="D40" s="853" t="s">
        <v>997</v>
      </c>
      <c r="E40" s="854">
        <f>ROUND(D34*C40*10,2)</f>
        <v>573.92999999999995</v>
      </c>
      <c r="F40" s="858" t="s">
        <v>163</v>
      </c>
    </row>
    <row r="41" spans="2:8" ht="24" customHeight="1" thickBot="1">
      <c r="B41" s="755" t="s">
        <v>1085</v>
      </c>
      <c r="C41" s="886">
        <v>1.5</v>
      </c>
      <c r="D41" s="855" t="s">
        <v>997</v>
      </c>
      <c r="E41" s="856">
        <f>ROUND(E39*C41,2)</f>
        <v>2049</v>
      </c>
      <c r="F41" s="859" t="s">
        <v>163</v>
      </c>
    </row>
    <row r="42" spans="2:8" ht="14.5" thickTop="1"/>
  </sheetData>
  <sheetProtection sheet="1"/>
  <mergeCells count="8">
    <mergeCell ref="I16:K18"/>
    <mergeCell ref="D34:F34"/>
    <mergeCell ref="D35:F35"/>
    <mergeCell ref="D36:F36"/>
    <mergeCell ref="E20:E21"/>
    <mergeCell ref="D20:D21"/>
    <mergeCell ref="D32:F32"/>
    <mergeCell ref="D33:F33"/>
  </mergeCells>
  <phoneticPr fontId="2"/>
  <dataValidations count="1">
    <dataValidation allowBlank="1" showInputMessage="1" showErrorMessage="1" prompt="当該地点群の需要構成率を採用する場合は直接入力" sqref="D8:D9" xr:uid="{00000000-0002-0000-1700-000000000000}"/>
  </dataValidations>
  <pageMargins left="0.78" right="0.58958333333333335" top="0.98" bottom="0.78541666666666665" header="0.51200000000000001" footer="0.51200000000000001"/>
  <pageSetup paperSize="9" scale="72" orientation="portrait" horizontalDpi="200" verticalDpi="200" r:id="rId1"/>
  <headerFooter alignWithMargins="0"/>
  <drawing r:id="rId2"/>
  <legacyDrawing r:id="rId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0">
    <pageSetUpPr autoPageBreaks="0" fitToPage="1"/>
  </sheetPr>
  <dimension ref="A1:AF66"/>
  <sheetViews>
    <sheetView showGridLines="0" zoomScaleNormal="100" workbookViewId="0"/>
  </sheetViews>
  <sheetFormatPr defaultColWidth="10.75" defaultRowHeight="14"/>
  <cols>
    <col min="1" max="1" width="8.58203125" style="19" customWidth="1"/>
    <col min="2" max="2" width="12.83203125" style="19" customWidth="1"/>
    <col min="3" max="3" width="11.75" style="19" customWidth="1"/>
    <col min="4" max="4" width="13.08203125" style="19" customWidth="1"/>
    <col min="5" max="5" width="11.5" style="19" customWidth="1"/>
    <col min="6" max="6" width="8.75" style="19" customWidth="1"/>
    <col min="7" max="8" width="11.75" style="19" customWidth="1"/>
    <col min="9" max="9" width="10.75" style="19" customWidth="1"/>
    <col min="10" max="10" width="11.75" style="19" customWidth="1"/>
    <col min="11" max="11" width="10.75" style="19" customWidth="1"/>
    <col min="12" max="12" width="10.83203125" style="19" customWidth="1"/>
    <col min="13" max="14" width="10.75" style="19" customWidth="1"/>
    <col min="15" max="15" width="4.58203125" style="19" customWidth="1"/>
    <col min="16" max="16" width="10.75" style="19" customWidth="1"/>
    <col min="17" max="17" width="21.33203125" style="19" customWidth="1"/>
    <col min="18" max="18" width="12.75" style="19" customWidth="1"/>
    <col min="19" max="19" width="13" style="19" customWidth="1"/>
    <col min="20" max="22" width="10.75" style="19" customWidth="1"/>
    <col min="23" max="23" width="13.08203125" style="19" customWidth="1"/>
    <col min="24" max="24" width="7.83203125" style="19" customWidth="1"/>
    <col min="25" max="25" width="13.08203125" style="19" customWidth="1"/>
    <col min="26" max="26" width="8.83203125" style="19" customWidth="1"/>
    <col min="27" max="27" width="13.08203125" style="19" customWidth="1"/>
    <col min="28" max="28" width="6.08203125" style="19" customWidth="1"/>
    <col min="29" max="29" width="13.08203125" style="19" customWidth="1"/>
    <col min="30" max="31" width="10.75" style="19" customWidth="1"/>
    <col min="32" max="32" width="12.75" style="19" customWidth="1"/>
    <col min="33" max="16384" width="10.75" style="19"/>
  </cols>
  <sheetData>
    <row r="1" spans="1:32">
      <c r="A1" s="17" t="s">
        <v>259</v>
      </c>
      <c r="B1" s="17"/>
      <c r="C1" s="17"/>
      <c r="D1" s="17"/>
      <c r="E1" s="17"/>
      <c r="F1" s="17"/>
      <c r="G1" s="17"/>
      <c r="H1" s="17"/>
      <c r="I1" s="17"/>
      <c r="J1" s="17"/>
      <c r="K1" s="17"/>
      <c r="L1" s="17"/>
      <c r="M1" s="17"/>
      <c r="N1" s="17"/>
      <c r="O1" s="17"/>
      <c r="P1" s="17"/>
      <c r="Q1" s="17"/>
      <c r="R1" s="17"/>
      <c r="S1" s="17"/>
      <c r="T1" s="17"/>
      <c r="U1" s="17"/>
      <c r="V1" s="17"/>
      <c r="W1" s="17"/>
      <c r="X1" s="17"/>
      <c r="Y1" s="17"/>
      <c r="Z1" s="17"/>
      <c r="AA1" s="17"/>
      <c r="AB1" s="17"/>
      <c r="AC1" s="17"/>
      <c r="AD1" s="18"/>
      <c r="AE1" s="18"/>
      <c r="AF1" s="18"/>
    </row>
    <row r="2" spans="1:32">
      <c r="A2" s="20" t="s">
        <v>810</v>
      </c>
      <c r="B2" s="20" t="str">
        <f>IF(基本入力!E46=0,"",基本入力!E46)</f>
        <v/>
      </c>
      <c r="C2" s="17" t="s">
        <v>809</v>
      </c>
      <c r="D2" s="331" t="str">
        <f>IF(B2="","",B2+1)</f>
        <v/>
      </c>
      <c r="E2" s="17" t="s">
        <v>811</v>
      </c>
      <c r="F2" s="17"/>
      <c r="G2" s="17"/>
      <c r="H2" s="17"/>
      <c r="I2" s="17"/>
      <c r="J2" s="17"/>
      <c r="K2" s="17"/>
      <c r="L2" s="17"/>
      <c r="M2" s="17"/>
      <c r="N2" s="17"/>
      <c r="O2" s="17"/>
      <c r="P2" s="17"/>
      <c r="Q2" s="17"/>
      <c r="R2" s="17"/>
      <c r="S2" s="17"/>
      <c r="T2" s="17"/>
      <c r="U2" s="17"/>
      <c r="V2" s="17"/>
      <c r="W2" s="17"/>
      <c r="X2" s="17"/>
      <c r="Y2" s="17"/>
      <c r="Z2" s="17"/>
      <c r="AA2" s="17"/>
      <c r="AB2" s="17"/>
      <c r="AC2" s="17"/>
    </row>
    <row r="3" spans="1:32" ht="16.5">
      <c r="A3" s="20" t="s">
        <v>810</v>
      </c>
      <c r="B3" s="20" t="str">
        <f>IF(基本入力!E47=0,"",基本入力!E47)</f>
        <v/>
      </c>
      <c r="C3" s="17" t="s">
        <v>809</v>
      </c>
      <c r="D3" s="331" t="str">
        <f>IF(B3="","",B3+1)</f>
        <v/>
      </c>
      <c r="E3" s="17" t="s">
        <v>812</v>
      </c>
      <c r="F3" s="17"/>
      <c r="G3" s="17"/>
      <c r="H3" s="17"/>
      <c r="I3" s="103" t="s">
        <v>260</v>
      </c>
      <c r="J3" s="17"/>
      <c r="K3" s="17"/>
      <c r="L3" s="17"/>
      <c r="M3" s="17"/>
      <c r="N3" s="17"/>
      <c r="O3" s="17"/>
      <c r="P3" s="17"/>
      <c r="Q3" s="17" t="s">
        <v>855</v>
      </c>
      <c r="R3" s="17"/>
      <c r="S3" s="17"/>
      <c r="T3" s="17"/>
      <c r="U3" s="17"/>
      <c r="V3" s="17"/>
      <c r="W3" s="17"/>
      <c r="X3" s="17"/>
      <c r="Y3" s="17"/>
      <c r="Z3" s="17"/>
      <c r="AA3" s="17"/>
      <c r="AB3" s="17"/>
      <c r="AC3" s="17"/>
    </row>
    <row r="4" spans="1:32">
      <c r="A4" s="20" t="s">
        <v>810</v>
      </c>
      <c r="B4" s="20" t="str">
        <f>IF(基本入力!E48=0,"",基本入力!E48)</f>
        <v/>
      </c>
      <c r="C4" s="17" t="s">
        <v>809</v>
      </c>
      <c r="D4" s="331" t="str">
        <f>IF(B4="","",B4+1)</f>
        <v/>
      </c>
      <c r="E4" s="17" t="s">
        <v>813</v>
      </c>
      <c r="F4" s="17"/>
      <c r="G4" s="17"/>
      <c r="H4" s="17"/>
      <c r="I4" s="17"/>
      <c r="J4" s="17"/>
      <c r="K4" s="17"/>
      <c r="L4" s="17"/>
      <c r="M4" s="17" t="s">
        <v>261</v>
      </c>
      <c r="N4" s="17"/>
      <c r="O4" s="17"/>
      <c r="P4" s="17"/>
      <c r="Q4" s="17"/>
      <c r="R4" s="17"/>
      <c r="S4" s="17"/>
      <c r="T4" s="22" t="s">
        <v>262</v>
      </c>
      <c r="U4" s="17"/>
      <c r="V4" s="22" t="s">
        <v>263</v>
      </c>
      <c r="W4" s="17"/>
      <c r="X4" s="22" t="s">
        <v>1201</v>
      </c>
      <c r="Y4" s="17"/>
      <c r="Z4" s="22" t="s">
        <v>1202</v>
      </c>
      <c r="AA4" s="17"/>
      <c r="AD4" s="17"/>
    </row>
    <row r="5" spans="1:32" ht="14.5" thickBot="1">
      <c r="A5" s="17"/>
      <c r="B5" s="17"/>
      <c r="C5" s="17"/>
      <c r="D5" s="17"/>
      <c r="E5" s="17"/>
      <c r="F5" s="17"/>
      <c r="G5" s="17"/>
      <c r="H5" s="17"/>
      <c r="I5" s="17"/>
      <c r="J5" s="17"/>
      <c r="K5" s="17"/>
      <c r="L5" s="17"/>
      <c r="M5" s="17" t="s">
        <v>264</v>
      </c>
      <c r="N5" s="17"/>
      <c r="O5" s="17"/>
      <c r="P5" s="17"/>
      <c r="Q5" s="17" t="s">
        <v>265</v>
      </c>
      <c r="R5" s="17"/>
      <c r="S5" s="17" t="s">
        <v>852</v>
      </c>
      <c r="T5" s="17" t="s">
        <v>853</v>
      </c>
      <c r="U5" s="17" t="s">
        <v>266</v>
      </c>
      <c r="V5" s="17" t="s">
        <v>267</v>
      </c>
      <c r="W5" s="17" t="s">
        <v>854</v>
      </c>
      <c r="X5" s="17" t="s">
        <v>267</v>
      </c>
      <c r="Y5" s="17" t="s">
        <v>854</v>
      </c>
      <c r="Z5" s="17" t="s">
        <v>267</v>
      </c>
      <c r="AA5" s="17" t="s">
        <v>854</v>
      </c>
      <c r="AD5" s="23"/>
      <c r="AE5" s="23"/>
    </row>
    <row r="6" spans="1:32" ht="14.5" thickTop="1">
      <c r="A6" s="17"/>
      <c r="B6" s="17"/>
      <c r="C6" s="17"/>
      <c r="D6" s="17"/>
      <c r="E6" s="24"/>
      <c r="F6" s="25"/>
      <c r="G6" s="24"/>
      <c r="H6" s="2133" t="s">
        <v>268</v>
      </c>
      <c r="I6" s="2134"/>
      <c r="J6" s="2135"/>
      <c r="K6" s="2133" t="s">
        <v>269</v>
      </c>
      <c r="L6" s="2134"/>
      <c r="M6" s="2135"/>
      <c r="N6" s="26" t="s">
        <v>270</v>
      </c>
      <c r="O6" s="27"/>
      <c r="P6" s="17"/>
      <c r="Q6" s="17" t="s">
        <v>271</v>
      </c>
      <c r="R6" s="289">
        <f>I23+L23</f>
        <v>9209893</v>
      </c>
      <c r="S6" s="17" t="s">
        <v>272</v>
      </c>
      <c r="T6" s="289">
        <f>投資額!G6</f>
        <v>38514</v>
      </c>
      <c r="U6" s="1366">
        <f>IF(SUM(基本入力!G20:G21)&lt;2,ROUNDDOWN(R6/T6,2),0)</f>
        <v>0</v>
      </c>
      <c r="V6" s="289">
        <f>T6-(Z6+X6)</f>
        <v>38514</v>
      </c>
      <c r="W6" s="289">
        <f>R6-(Y6+AA6)</f>
        <v>9209893</v>
      </c>
      <c r="X6" s="289">
        <f>ROUNDDOWN(IF(基本入力!G$21=0,販売量ﾃﾞｰﾀ!F17,0),0)</f>
        <v>0</v>
      </c>
      <c r="Y6" s="289">
        <f>ROUNDDOWN(U6*X6,0)</f>
        <v>0</v>
      </c>
      <c r="Z6" s="289">
        <f>ROUNDDOWN(IF(基本入力!G20=0,販売量ﾃﾞｰﾀ!Q17,0),0)</f>
        <v>0</v>
      </c>
      <c r="AA6" s="289">
        <f>ROUNDDOWN(U6*Z6,0)</f>
        <v>0</v>
      </c>
    </row>
    <row r="7" spans="1:32" ht="14.5" thickBot="1">
      <c r="A7" s="17"/>
      <c r="B7" s="23"/>
      <c r="C7" s="17"/>
      <c r="D7" s="17"/>
      <c r="E7" s="2136" t="s">
        <v>851</v>
      </c>
      <c r="F7" s="2137"/>
      <c r="G7" s="28" t="s">
        <v>273</v>
      </c>
      <c r="H7" s="29" t="s">
        <v>274</v>
      </c>
      <c r="I7" s="30" t="s">
        <v>275</v>
      </c>
      <c r="J7" s="30" t="s">
        <v>150</v>
      </c>
      <c r="K7" s="29" t="s">
        <v>274</v>
      </c>
      <c r="L7" s="30" t="s">
        <v>275</v>
      </c>
      <c r="M7" s="30" t="s">
        <v>150</v>
      </c>
      <c r="N7" s="28"/>
      <c r="O7" s="27"/>
      <c r="P7" s="17"/>
      <c r="Q7" s="17" t="s">
        <v>276</v>
      </c>
      <c r="R7" s="289">
        <f>H23</f>
        <v>2085887</v>
      </c>
      <c r="S7" s="17" t="s">
        <v>277</v>
      </c>
      <c r="T7" s="289">
        <f>販売量ﾃﾞｰﾀ!L45</f>
        <v>10</v>
      </c>
      <c r="U7" s="1366">
        <f>IF(SUM(基本入力!G20:G21)&lt;2,ROUNDDOWN(R7/T7,2),0)</f>
        <v>0</v>
      </c>
      <c r="V7" s="289">
        <f>T7-(Z7+X7)</f>
        <v>10</v>
      </c>
      <c r="W7" s="289">
        <f>R7-(Y7+AA7)</f>
        <v>2085887</v>
      </c>
      <c r="X7" s="289">
        <f>ROUNDDOWN(IF(基本入力!G$21=0,販売量ﾃﾞｰﾀ!D23,0),0)</f>
        <v>0</v>
      </c>
      <c r="Y7" s="289">
        <f>ROUNDDOWN(U7*X7,0)</f>
        <v>0</v>
      </c>
      <c r="Z7" s="289">
        <f>ROUNDDOWN(IF(基本入力!G20=0,販売量ﾃﾞｰﾀ!J23,0),0)</f>
        <v>0</v>
      </c>
      <c r="AA7" s="289">
        <f>ROUNDDOWN(U7*Z7,0)</f>
        <v>0</v>
      </c>
    </row>
    <row r="8" spans="1:32" ht="14.5" thickTop="1">
      <c r="A8" s="17"/>
      <c r="B8" s="23"/>
      <c r="C8" s="17"/>
      <c r="D8" s="17"/>
      <c r="E8" s="31" t="s">
        <v>278</v>
      </c>
      <c r="F8" s="32"/>
      <c r="G8" s="33">
        <f>総括表!D8</f>
        <v>7892213</v>
      </c>
      <c r="H8" s="33"/>
      <c r="I8" s="34">
        <f>G8</f>
        <v>7892213</v>
      </c>
      <c r="J8" s="34">
        <f>I8</f>
        <v>7892213</v>
      </c>
      <c r="K8" s="33"/>
      <c r="L8" s="34"/>
      <c r="M8" s="34"/>
      <c r="N8" s="33"/>
      <c r="O8" s="27"/>
      <c r="P8" s="17"/>
      <c r="Q8" s="17" t="s">
        <v>279</v>
      </c>
      <c r="R8" s="289">
        <f>K23</f>
        <v>6397387</v>
      </c>
      <c r="S8" s="17" t="s">
        <v>280</v>
      </c>
      <c r="T8" s="289">
        <f>販売量ﾃﾞｰﾀ!K40</f>
        <v>0</v>
      </c>
      <c r="U8" s="1366">
        <f>IF(SUM(基本入力!G20:G21)&lt;2,ROUNDDOWN(R8/T8,2),0)</f>
        <v>0</v>
      </c>
      <c r="V8" s="289">
        <f>T8-(Z8+X8)</f>
        <v>0</v>
      </c>
      <c r="W8" s="289">
        <f>R8-(Y8+AA8)</f>
        <v>6397387</v>
      </c>
      <c r="X8" s="289">
        <f>ROUNDDOWN(IF(基本入力!G$21=0,販売量ﾃﾞｰﾀ!F19,0),0)</f>
        <v>0</v>
      </c>
      <c r="Y8" s="289">
        <f>ROUNDDOWN(U8*X8,0)</f>
        <v>0</v>
      </c>
      <c r="Z8" s="289">
        <f>ROUNDDOWN(IF(基本入力!G20=0,販売量ﾃﾞｰﾀ!Q19,0),0)</f>
        <v>0</v>
      </c>
      <c r="AA8" s="289">
        <f>ROUNDDOWN(U8*Z8,0)</f>
        <v>0</v>
      </c>
    </row>
    <row r="9" spans="1:32">
      <c r="A9" s="17"/>
      <c r="B9" s="23"/>
      <c r="C9" s="17"/>
      <c r="D9" s="17"/>
      <c r="E9" s="35" t="s">
        <v>281</v>
      </c>
      <c r="F9" s="36"/>
      <c r="G9" s="37">
        <f>総括表!D9</f>
        <v>5618781</v>
      </c>
      <c r="H9" s="37"/>
      <c r="I9" s="38"/>
      <c r="J9" s="38"/>
      <c r="K9" s="37">
        <f>CHOOSE((基本入力!C50)+1,M33,M33,M33+G33)</f>
        <v>2280663</v>
      </c>
      <c r="L9" s="38"/>
      <c r="M9" s="38">
        <f t="shared" ref="M9:M15" si="0">K9</f>
        <v>2280663</v>
      </c>
      <c r="N9" s="37">
        <f>CHOOSE((基本入力!C50)+1,N33+G33,N33,N33)</f>
        <v>3338118</v>
      </c>
      <c r="O9" s="28" t="str">
        <f>IF(G33&gt;0,"☆",IF(G33&lt;0,"★","--"))</f>
        <v>--</v>
      </c>
      <c r="P9" s="17"/>
      <c r="Q9" s="17" t="s">
        <v>282</v>
      </c>
      <c r="R9" s="289">
        <f>N23</f>
        <v>5300987.6349999998</v>
      </c>
      <c r="S9" s="17" t="s">
        <v>1228</v>
      </c>
      <c r="T9" s="289">
        <f>(SUM(基本入力!C13:C16)+SUM(基本入力!C56:C57))*12</f>
        <v>2940</v>
      </c>
      <c r="U9" s="1366">
        <f>IF(SUM(基本入力!G20:G21)&lt;2,ROUNDDOWN(R9/T9,2),0)</f>
        <v>0</v>
      </c>
      <c r="V9" s="289">
        <f>T9-(Z9+X9)</f>
        <v>2940</v>
      </c>
      <c r="W9" s="289">
        <f>R9-(Y9+AA9)</f>
        <v>5300987.6349999998</v>
      </c>
      <c r="X9" s="289">
        <f>ROUNDDOWN(IF(基本入力!G$21=0,販売量ﾃﾞｰﾀ!D22,0),0)</f>
        <v>0</v>
      </c>
      <c r="Y9" s="289">
        <f>ROUNDDOWN(U9*X9,0)</f>
        <v>0</v>
      </c>
      <c r="Z9" s="289">
        <f>ROUNDDOWN(IF(基本入力!G20=0,販売量ﾃﾞｰﾀ!J22,0),0)</f>
        <v>0</v>
      </c>
      <c r="AA9" s="289">
        <f>ROUNDDOWN(U9*Z9,0)</f>
        <v>0</v>
      </c>
    </row>
    <row r="10" spans="1:32">
      <c r="A10" s="17"/>
      <c r="B10" s="17"/>
      <c r="C10" s="17"/>
      <c r="D10" s="17"/>
      <c r="E10" s="35" t="s">
        <v>283</v>
      </c>
      <c r="F10" s="36"/>
      <c r="G10" s="37">
        <f>総括表!D10</f>
        <v>570593</v>
      </c>
      <c r="H10" s="37">
        <f>CHOOSE((基本入力!C50)+1,J36,J36+G36,J36)</f>
        <v>151086</v>
      </c>
      <c r="I10" s="38"/>
      <c r="J10" s="38">
        <f>H10</f>
        <v>151086</v>
      </c>
      <c r="K10" s="37">
        <f>CHOOSE((基本入力!C50)+1,M36,M36,G36+M36)</f>
        <v>314280</v>
      </c>
      <c r="L10" s="38"/>
      <c r="M10" s="38">
        <f t="shared" si="0"/>
        <v>314280</v>
      </c>
      <c r="N10" s="37">
        <f>CHOOSE((基本入力!C50)+1,G36+N36,N36,N36)</f>
        <v>105227</v>
      </c>
      <c r="O10" s="28" t="str">
        <f>IF(G36&gt;0,"☆",IF(G36&lt;0,"★","--"))</f>
        <v>--</v>
      </c>
      <c r="P10" s="17"/>
      <c r="Q10" s="17" t="s">
        <v>137</v>
      </c>
      <c r="R10" s="289">
        <f>SUM(R6:R9)</f>
        <v>22994154.634999998</v>
      </c>
      <c r="S10" s="17"/>
      <c r="T10" s="289"/>
      <c r="U10" s="290">
        <f>SUM(U6:U9)</f>
        <v>0</v>
      </c>
      <c r="V10" s="289"/>
      <c r="W10" s="289">
        <f>SUM(W6:W9)</f>
        <v>22994154.634999998</v>
      </c>
      <c r="X10" s="289"/>
      <c r="Y10" s="289">
        <f>SUM(Y6:Y9)</f>
        <v>0</v>
      </c>
      <c r="Z10" s="289"/>
      <c r="AA10" s="289">
        <f>SUM(AA6:AA9)</f>
        <v>0</v>
      </c>
    </row>
    <row r="11" spans="1:32">
      <c r="A11" s="17"/>
      <c r="B11" s="17"/>
      <c r="C11" s="17"/>
      <c r="D11" s="17"/>
      <c r="E11" s="35" t="s">
        <v>284</v>
      </c>
      <c r="F11" s="36"/>
      <c r="G11" s="37">
        <f>総括表!D11</f>
        <v>208435</v>
      </c>
      <c r="H11" s="37">
        <f>CHOOSE((基本入力!C50)+1,J39,J39+G39,J39)</f>
        <v>55191</v>
      </c>
      <c r="I11" s="38"/>
      <c r="J11" s="38">
        <f>H11</f>
        <v>55191</v>
      </c>
      <c r="K11" s="37">
        <f>CHOOSE((基本入力!C50)+1,M39,M39,M39+G39)</f>
        <v>114805</v>
      </c>
      <c r="L11" s="38"/>
      <c r="M11" s="38">
        <f t="shared" si="0"/>
        <v>114805</v>
      </c>
      <c r="N11" s="37">
        <f>CHOOSE((基本入力!C50)+1,N39+G39,N39,N39)</f>
        <v>38439</v>
      </c>
      <c r="O11" s="28" t="str">
        <f>IF(G39&gt;0,"☆",IF(G39&lt;0,"★","--"))</f>
        <v>--</v>
      </c>
      <c r="P11" s="17"/>
      <c r="Q11" s="17"/>
      <c r="R11" s="17"/>
      <c r="S11" s="17"/>
      <c r="T11" s="17"/>
      <c r="U11" s="17"/>
      <c r="V11" s="17"/>
      <c r="W11" s="17"/>
      <c r="X11" s="17"/>
      <c r="Y11" s="17"/>
      <c r="Z11" s="17"/>
      <c r="AA11" s="17"/>
      <c r="AB11" s="17"/>
      <c r="AC11" s="17"/>
    </row>
    <row r="12" spans="1:32">
      <c r="A12" s="17"/>
      <c r="B12" s="17"/>
      <c r="C12" s="17"/>
      <c r="D12" s="17"/>
      <c r="E12" s="35" t="s">
        <v>285</v>
      </c>
      <c r="F12" s="36"/>
      <c r="G12" s="37">
        <f>総括表!D13</f>
        <v>171500</v>
      </c>
      <c r="H12" s="37"/>
      <c r="I12" s="38"/>
      <c r="J12" s="38"/>
      <c r="K12" s="37">
        <f>G12</f>
        <v>171500</v>
      </c>
      <c r="L12" s="38"/>
      <c r="M12" s="38">
        <f>K12</f>
        <v>171500</v>
      </c>
      <c r="N12" s="37"/>
      <c r="O12" s="28"/>
      <c r="P12" s="17"/>
      <c r="Q12" s="17"/>
      <c r="R12" s="17"/>
      <c r="S12" s="17"/>
      <c r="T12" s="17"/>
      <c r="U12" s="17"/>
      <c r="V12" s="17"/>
      <c r="W12" s="17"/>
      <c r="X12" s="17"/>
      <c r="Y12" s="17"/>
      <c r="Z12" s="17"/>
      <c r="AA12" s="17"/>
      <c r="AB12" s="17"/>
      <c r="AC12" s="17"/>
    </row>
    <row r="13" spans="1:32">
      <c r="A13" s="17"/>
      <c r="B13" s="17"/>
      <c r="C13" s="39"/>
      <c r="D13" s="17"/>
      <c r="E13" s="561" t="s">
        <v>286</v>
      </c>
      <c r="F13" s="36" t="s">
        <v>287</v>
      </c>
      <c r="G13" s="37">
        <f>説明書!G53</f>
        <v>3639419</v>
      </c>
      <c r="H13" s="37">
        <f>CHOOSE((基本入力!C50)+1,J43,G43+J43,J43)</f>
        <v>1010043</v>
      </c>
      <c r="I13" s="38"/>
      <c r="J13" s="38">
        <f>H13</f>
        <v>1010043</v>
      </c>
      <c r="K13" s="37">
        <f>CHOOSE((基本入力!C50)+1,M43,M43,M43+G43)</f>
        <v>2029949</v>
      </c>
      <c r="L13" s="38"/>
      <c r="M13" s="41">
        <f t="shared" si="0"/>
        <v>2029949</v>
      </c>
      <c r="N13" s="42">
        <f>CHOOSE((基本入力!C50)+1,G43+N43,N43,N43)</f>
        <v>599427</v>
      </c>
      <c r="O13" s="28" t="str">
        <f>IF(G43&gt;0,"☆",IF(G43&lt;0,"★","--"))</f>
        <v>--</v>
      </c>
      <c r="P13" s="17"/>
      <c r="Q13" s="17"/>
      <c r="R13" s="17"/>
      <c r="S13" s="17"/>
      <c r="T13" s="17"/>
      <c r="U13" s="17"/>
      <c r="V13" s="17"/>
      <c r="W13" s="17"/>
      <c r="X13" s="17"/>
      <c r="Y13" s="17"/>
      <c r="Z13" s="17"/>
      <c r="AA13" s="17"/>
      <c r="AB13" s="17"/>
      <c r="AC13" s="17"/>
    </row>
    <row r="14" spans="1:32">
      <c r="A14" s="17"/>
      <c r="B14" s="17"/>
      <c r="C14" s="39"/>
      <c r="D14" s="17"/>
      <c r="E14" s="562" t="s">
        <v>288</v>
      </c>
      <c r="F14" s="560" t="s">
        <v>289</v>
      </c>
      <c r="G14" s="43">
        <f>説明書!G56</f>
        <v>436590</v>
      </c>
      <c r="H14" s="43"/>
      <c r="I14" s="44"/>
      <c r="J14" s="44">
        <f>H14</f>
        <v>0</v>
      </c>
      <c r="K14" s="43">
        <f>CHOOSE((基本入力!C50)+1,M45,M45,M45+G45)</f>
        <v>177212</v>
      </c>
      <c r="L14" s="44"/>
      <c r="M14" s="44">
        <f t="shared" si="0"/>
        <v>177212</v>
      </c>
      <c r="N14" s="43">
        <f>CHOOSE((基本入力!C50)+1,G45+N45,N45,N45)</f>
        <v>259378</v>
      </c>
      <c r="O14" s="28" t="str">
        <f>IF(G45&gt;0,"☆",IF(G45&lt;0,"★","--"))</f>
        <v>--</v>
      </c>
      <c r="P14" s="17"/>
      <c r="Q14" s="17"/>
      <c r="R14" s="17"/>
      <c r="S14" s="17"/>
      <c r="T14" s="17"/>
      <c r="U14" s="17"/>
      <c r="V14" s="17"/>
      <c r="W14" s="17"/>
      <c r="X14" s="17"/>
      <c r="Y14" s="17"/>
      <c r="Z14" s="17"/>
      <c r="AA14" s="17"/>
      <c r="AB14" s="17"/>
      <c r="AC14" s="17"/>
    </row>
    <row r="15" spans="1:32">
      <c r="A15" s="17"/>
      <c r="B15" s="17"/>
      <c r="C15" s="39"/>
      <c r="D15" s="17"/>
      <c r="E15" s="35" t="s">
        <v>290</v>
      </c>
      <c r="F15" s="36"/>
      <c r="G15" s="37">
        <f>G13+G14</f>
        <v>4076009</v>
      </c>
      <c r="H15" s="37">
        <f>SUM(H13:H14)</f>
        <v>1010043</v>
      </c>
      <c r="I15" s="38"/>
      <c r="J15" s="38">
        <f>H15</f>
        <v>1010043</v>
      </c>
      <c r="K15" s="37">
        <f>SUM(K13:K14)</f>
        <v>2207161</v>
      </c>
      <c r="L15" s="38"/>
      <c r="M15" s="38">
        <f t="shared" si="0"/>
        <v>2207161</v>
      </c>
      <c r="N15" s="37">
        <f>SUM(N13:N14)</f>
        <v>858805</v>
      </c>
      <c r="O15" s="28"/>
      <c r="P15" s="17"/>
      <c r="Q15" s="17"/>
      <c r="R15" s="17"/>
      <c r="S15" s="17"/>
      <c r="T15" s="17"/>
      <c r="U15" s="17"/>
      <c r="V15" s="17"/>
      <c r="W15" s="17"/>
      <c r="X15" s="17"/>
      <c r="Y15" s="17"/>
      <c r="Z15" s="17"/>
      <c r="AA15" s="17"/>
      <c r="AB15" s="17"/>
      <c r="AC15" s="17"/>
    </row>
    <row r="16" spans="1:32" ht="14.5" thickBot="1">
      <c r="A16" s="17"/>
      <c r="B16" s="17"/>
      <c r="C16" s="39"/>
      <c r="D16" s="17"/>
      <c r="E16" s="35" t="s">
        <v>291</v>
      </c>
      <c r="F16" s="36"/>
      <c r="G16" s="37">
        <f>SUM(G8:G12,G15)</f>
        <v>18537531</v>
      </c>
      <c r="H16" s="37">
        <f>SUM(H8:H12,H15)</f>
        <v>1216320</v>
      </c>
      <c r="I16" s="38">
        <f>SUM(I8:I12,I15)</f>
        <v>7892213</v>
      </c>
      <c r="J16" s="38">
        <f>SUM(H16:I16)</f>
        <v>9108533</v>
      </c>
      <c r="K16" s="37">
        <f>SUM(K8:K12,K15)</f>
        <v>5088409</v>
      </c>
      <c r="L16" s="38">
        <f>SUM(L8:L12,L15)</f>
        <v>0</v>
      </c>
      <c r="M16" s="38">
        <f>SUM(K16:L16)</f>
        <v>5088409</v>
      </c>
      <c r="N16" s="37">
        <f>SUM(N8:N11,N15)</f>
        <v>4340589</v>
      </c>
      <c r="O16" s="27"/>
      <c r="P16" s="17"/>
      <c r="Q16" s="17"/>
      <c r="R16" s="17"/>
      <c r="S16" s="17"/>
      <c r="T16" s="17"/>
      <c r="U16" s="17"/>
      <c r="V16" s="17"/>
      <c r="W16" s="17"/>
      <c r="X16" s="17"/>
      <c r="Y16" s="17"/>
      <c r="AB16" s="17"/>
      <c r="AC16" s="17"/>
    </row>
    <row r="17" spans="1:32" ht="14.5" thickTop="1">
      <c r="A17" s="17" t="s">
        <v>826</v>
      </c>
      <c r="B17" s="17"/>
      <c r="C17" s="39"/>
      <c r="D17" s="17"/>
      <c r="E17" s="24" t="s">
        <v>292</v>
      </c>
      <c r="F17" s="25"/>
      <c r="G17" s="45">
        <f>総括表!D15</f>
        <v>2780630</v>
      </c>
      <c r="H17" s="45">
        <f>H47+H48</f>
        <v>784597</v>
      </c>
      <c r="I17" s="46">
        <f>I47</f>
        <v>581683</v>
      </c>
      <c r="J17" s="46">
        <f>CHOOSE((基本入力!C50)+1,J47,J48,J47)</f>
        <v>1366280</v>
      </c>
      <c r="K17" s="45">
        <f>K47+K48</f>
        <v>438308</v>
      </c>
      <c r="L17" s="46">
        <f>L47</f>
        <v>324953</v>
      </c>
      <c r="M17" s="46">
        <f>CHOOSE((基本入力!C50)+1,M47,M47,M48)</f>
        <v>763261</v>
      </c>
      <c r="N17" s="45">
        <f>CHOOSE((基本入力!C50)+1,N48,N47,N47)</f>
        <v>651089</v>
      </c>
      <c r="O17" s="28" t="str">
        <f>IF(G47&gt;0,"☆",IF(G47&lt;0,"★","--"))</f>
        <v>☆</v>
      </c>
      <c r="P17" s="17"/>
      <c r="Q17" s="17"/>
      <c r="R17" s="17"/>
      <c r="S17" s="17"/>
      <c r="T17" s="17"/>
      <c r="U17" s="17"/>
      <c r="V17" s="17"/>
      <c r="W17" s="17"/>
      <c r="X17" s="17"/>
      <c r="Y17" s="17"/>
      <c r="AB17" s="17"/>
      <c r="AC17" s="17"/>
    </row>
    <row r="18" spans="1:32" ht="14.5" thickBot="1">
      <c r="A18" s="17"/>
      <c r="B18" s="341" t="s">
        <v>293</v>
      </c>
      <c r="C18" s="340">
        <f>係数!E76</f>
        <v>0.83199999999999996</v>
      </c>
      <c r="D18" s="17"/>
      <c r="E18" s="35" t="s">
        <v>294</v>
      </c>
      <c r="F18" s="36"/>
      <c r="G18" s="37">
        <f t="shared" ref="G18:N18" si="1">G16+G17</f>
        <v>21318161</v>
      </c>
      <c r="H18" s="37">
        <f t="shared" si="1"/>
        <v>2000917</v>
      </c>
      <c r="I18" s="38">
        <f t="shared" si="1"/>
        <v>8473896</v>
      </c>
      <c r="J18" s="38">
        <f t="shared" si="1"/>
        <v>10474813</v>
      </c>
      <c r="K18" s="37">
        <f t="shared" si="1"/>
        <v>5526717</v>
      </c>
      <c r="L18" s="38">
        <f t="shared" si="1"/>
        <v>324953</v>
      </c>
      <c r="M18" s="38">
        <f t="shared" si="1"/>
        <v>5851670</v>
      </c>
      <c r="N18" s="37">
        <f t="shared" si="1"/>
        <v>4991678</v>
      </c>
      <c r="O18" s="27"/>
      <c r="P18" s="17"/>
      <c r="Q18" s="17"/>
      <c r="R18" s="17"/>
      <c r="S18" s="17"/>
      <c r="T18" s="17"/>
      <c r="U18" s="17"/>
      <c r="V18" s="17"/>
      <c r="W18" s="17"/>
      <c r="X18" s="17"/>
      <c r="Y18" s="17"/>
      <c r="AB18" s="17"/>
      <c r="AC18" s="17"/>
    </row>
    <row r="19" spans="1:32" ht="14.5" thickTop="1">
      <c r="A19" s="17"/>
      <c r="B19" s="341" t="s">
        <v>270</v>
      </c>
      <c r="C19" s="340">
        <f>係数!E77</f>
        <v>0.16800000000000001</v>
      </c>
      <c r="D19" s="17"/>
      <c r="E19" s="24" t="s">
        <v>806</v>
      </c>
      <c r="F19" s="25"/>
      <c r="G19" s="45">
        <f>総括表!D17</f>
        <v>1554872</v>
      </c>
      <c r="H19" s="45">
        <f>H50+H51</f>
        <v>78646</v>
      </c>
      <c r="I19" s="46">
        <f>I50</f>
        <v>333065</v>
      </c>
      <c r="J19" s="46">
        <f>CHOOSE((基本入力!C50)+1,J50,J50,J51)</f>
        <v>411711</v>
      </c>
      <c r="K19" s="45">
        <f>K50+K51</f>
        <v>808858</v>
      </c>
      <c r="L19" s="46">
        <f>L50</f>
        <v>47558</v>
      </c>
      <c r="M19" s="46">
        <f>CHOOSE((基本入力!C50)+1,M50,M50,M51)</f>
        <v>856416</v>
      </c>
      <c r="N19" s="45">
        <f>CHOOSE((基本入力!C50)+1,N51,N50,N50)</f>
        <v>286745</v>
      </c>
      <c r="O19" s="28" t="str">
        <f>IF(G50&gt;0,"☆",IF(G50&lt;0,"★","--"))</f>
        <v>--</v>
      </c>
      <c r="P19" s="17"/>
      <c r="Q19" s="17"/>
      <c r="R19" s="17"/>
      <c r="S19" s="17"/>
      <c r="T19" s="17"/>
      <c r="U19" s="17"/>
      <c r="V19" s="17"/>
      <c r="W19" s="17"/>
      <c r="X19" s="17"/>
      <c r="Y19" s="17"/>
      <c r="AB19" s="17"/>
      <c r="AC19" s="17"/>
    </row>
    <row r="20" spans="1:32">
      <c r="A20" s="17" t="s">
        <v>827</v>
      </c>
      <c r="B20" s="17"/>
      <c r="C20" s="47"/>
      <c r="D20" s="17"/>
      <c r="E20" s="35" t="s">
        <v>295</v>
      </c>
      <c r="F20" s="36"/>
      <c r="G20" s="37">
        <f>総括表!D18+総括表!D19+総括表!D20</f>
        <v>116179.63499999999</v>
      </c>
      <c r="H20" s="37">
        <f>H53+H54</f>
        <v>5876</v>
      </c>
      <c r="I20" s="38">
        <f>I53</f>
        <v>24887</v>
      </c>
      <c r="J20" s="38">
        <f>CHOOSE((基本入力!C50)+1,J53,J54,J53)</f>
        <v>30763</v>
      </c>
      <c r="K20" s="37">
        <f>K53+K54</f>
        <v>60437</v>
      </c>
      <c r="L20" s="38">
        <f>L53</f>
        <v>3554</v>
      </c>
      <c r="M20" s="38">
        <f>CHOOSE((基本入力!C50)+1,M53,M53,M54)</f>
        <v>63991</v>
      </c>
      <c r="N20" s="37">
        <f>CHOOSE((基本入力!C50)+1,N54,N53,N53)</f>
        <v>21425.634999999995</v>
      </c>
      <c r="O20" s="28" t="str">
        <f>IF(G53&gt;0,"☆",IF(G53&lt;0,"★","--"))</f>
        <v>★</v>
      </c>
      <c r="P20" s="17"/>
      <c r="Q20" s="17"/>
      <c r="R20" s="17"/>
      <c r="S20" s="17"/>
      <c r="T20" s="17"/>
      <c r="U20" s="17"/>
      <c r="V20" s="17"/>
      <c r="W20" s="17"/>
      <c r="X20" s="17"/>
      <c r="Y20" s="17"/>
      <c r="AB20" s="17"/>
      <c r="AC20" s="17"/>
    </row>
    <row r="21" spans="1:32" ht="14.5" thickBot="1">
      <c r="A21" s="17"/>
      <c r="B21" s="341" t="s">
        <v>293</v>
      </c>
      <c r="C21" s="340">
        <f>係数!E80</f>
        <v>0.40589999999999998</v>
      </c>
      <c r="D21" s="17"/>
      <c r="E21" s="35" t="s">
        <v>296</v>
      </c>
      <c r="F21" s="36"/>
      <c r="G21" s="37">
        <f t="shared" ref="G21:N21" si="2">SUM(G18:G20)</f>
        <v>22989212.635000002</v>
      </c>
      <c r="H21" s="37">
        <f t="shared" si="2"/>
        <v>2085439</v>
      </c>
      <c r="I21" s="38">
        <f t="shared" si="2"/>
        <v>8831848</v>
      </c>
      <c r="J21" s="38">
        <f t="shared" si="2"/>
        <v>10917287</v>
      </c>
      <c r="K21" s="37">
        <f t="shared" si="2"/>
        <v>6396012</v>
      </c>
      <c r="L21" s="38">
        <f t="shared" si="2"/>
        <v>376065</v>
      </c>
      <c r="M21" s="38">
        <f t="shared" si="2"/>
        <v>6772077</v>
      </c>
      <c r="N21" s="37">
        <f t="shared" si="2"/>
        <v>5299848.6349999998</v>
      </c>
      <c r="O21" s="28"/>
      <c r="P21" s="17"/>
      <c r="Q21" s="17"/>
      <c r="R21" s="17"/>
      <c r="S21" s="17"/>
      <c r="T21" s="17"/>
      <c r="U21" s="17"/>
      <c r="V21" s="17"/>
      <c r="W21" s="17"/>
      <c r="X21" s="17"/>
      <c r="Y21" s="17"/>
      <c r="AB21" s="17"/>
      <c r="AC21" s="17"/>
    </row>
    <row r="22" spans="1:32" ht="14.5" thickTop="1">
      <c r="A22" s="17"/>
      <c r="B22" s="341" t="s">
        <v>270</v>
      </c>
      <c r="C22" s="340">
        <f>係数!E81</f>
        <v>0.59409999999999996</v>
      </c>
      <c r="D22" s="17"/>
      <c r="E22" s="24" t="s">
        <v>297</v>
      </c>
      <c r="F22" s="25"/>
      <c r="G22" s="45">
        <f>総括表!D12</f>
        <v>4942</v>
      </c>
      <c r="H22" s="45">
        <f>H56+H57</f>
        <v>448</v>
      </c>
      <c r="I22" s="46">
        <f>I56</f>
        <v>1899</v>
      </c>
      <c r="J22" s="46">
        <f>CHOOSE((基本入力!C50)+1,J56,J57,J56)</f>
        <v>2347</v>
      </c>
      <c r="K22" s="45">
        <f>K56+K57</f>
        <v>1375</v>
      </c>
      <c r="L22" s="46">
        <f>L56</f>
        <v>81</v>
      </c>
      <c r="M22" s="46">
        <f>CHOOSE((基本入力!C50)+1,M56,M56,M57)</f>
        <v>1456</v>
      </c>
      <c r="N22" s="45">
        <f>CHOOSE((基本入力!C50)+1,N57,N56,N56)</f>
        <v>1139</v>
      </c>
      <c r="O22" s="28" t="str">
        <f>IF(G56&gt;0,"☆",IF(G56&lt;0,"★","--"))</f>
        <v>--</v>
      </c>
      <c r="P22" s="17"/>
      <c r="Q22" s="17"/>
      <c r="R22" s="17"/>
      <c r="S22" s="17"/>
      <c r="T22" s="17"/>
      <c r="U22" s="17"/>
      <c r="V22" s="17"/>
      <c r="W22" s="17"/>
      <c r="X22" s="17"/>
      <c r="Y22" s="17"/>
      <c r="AB22" s="17"/>
      <c r="AC22" s="17"/>
    </row>
    <row r="23" spans="1:32" ht="14.5" thickBot="1">
      <c r="A23" s="17"/>
      <c r="B23" s="17"/>
      <c r="C23" s="39"/>
      <c r="D23" s="17"/>
      <c r="E23" s="35" t="s">
        <v>298</v>
      </c>
      <c r="F23" s="36"/>
      <c r="G23" s="37">
        <f>G21+G22</f>
        <v>22994154.635000002</v>
      </c>
      <c r="H23" s="37">
        <f t="shared" ref="H23:N23" si="3">SUM(H21:H22)</f>
        <v>2085887</v>
      </c>
      <c r="I23" s="38">
        <f t="shared" si="3"/>
        <v>8833747</v>
      </c>
      <c r="J23" s="38">
        <f t="shared" si="3"/>
        <v>10919634</v>
      </c>
      <c r="K23" s="37">
        <f t="shared" si="3"/>
        <v>6397387</v>
      </c>
      <c r="L23" s="38">
        <f t="shared" si="3"/>
        <v>376146</v>
      </c>
      <c r="M23" s="38">
        <f t="shared" si="3"/>
        <v>6773533</v>
      </c>
      <c r="N23" s="37">
        <f t="shared" si="3"/>
        <v>5300987.6349999998</v>
      </c>
      <c r="O23" s="27"/>
      <c r="P23" s="17"/>
      <c r="Q23" s="17"/>
      <c r="R23" s="17"/>
      <c r="S23" s="17"/>
      <c r="T23" s="17"/>
      <c r="U23" s="17"/>
      <c r="V23" s="17"/>
      <c r="W23" s="17"/>
      <c r="X23" s="17"/>
      <c r="Y23" s="17"/>
      <c r="Z23" s="17"/>
      <c r="AA23" s="17"/>
      <c r="AB23" s="17"/>
      <c r="AC23" s="17"/>
    </row>
    <row r="24" spans="1:32" ht="15" thickTop="1" thickBot="1">
      <c r="A24" s="17" t="s">
        <v>299</v>
      </c>
      <c r="B24" s="17"/>
      <c r="C24" s="17"/>
      <c r="D24" s="17" t="s">
        <v>300</v>
      </c>
      <c r="E24" s="24"/>
      <c r="F24" s="25"/>
      <c r="G24" s="45"/>
      <c r="H24" s="25"/>
      <c r="I24" s="25"/>
      <c r="J24" s="25"/>
      <c r="K24" s="25"/>
      <c r="L24" s="25"/>
      <c r="M24" s="25"/>
      <c r="N24" s="25"/>
      <c r="O24" s="27"/>
      <c r="P24" s="17"/>
      <c r="Q24" s="17"/>
      <c r="R24" s="17"/>
      <c r="S24" s="17"/>
      <c r="T24" s="17"/>
      <c r="U24" s="17"/>
      <c r="V24" s="17"/>
      <c r="W24" s="17"/>
      <c r="X24" s="17"/>
      <c r="Y24" s="17"/>
      <c r="Z24" s="17"/>
      <c r="AA24" s="17"/>
      <c r="AB24" s="17"/>
      <c r="AC24" s="17"/>
    </row>
    <row r="25" spans="1:32" ht="15" thickTop="1" thickBot="1">
      <c r="A25" s="17"/>
      <c r="B25" s="17" t="s">
        <v>301</v>
      </c>
      <c r="C25" s="39">
        <f>SUM(投資額!G22:H22,投資額!G24:H27,投資額!G18)</f>
        <v>12590550</v>
      </c>
      <c r="D25" s="39">
        <f>SUM(投資額!G22:H22,投資額!G24:H27)</f>
        <v>12590550</v>
      </c>
      <c r="E25" s="24" t="s">
        <v>808</v>
      </c>
      <c r="F25" s="25"/>
      <c r="G25" s="48">
        <f>ROUNDDOWN(総括表!D21/総括表!D23,2)</f>
        <v>597.03</v>
      </c>
      <c r="H25" s="48">
        <f t="shared" ref="H25:N25" si="4">H62</f>
        <v>54.16</v>
      </c>
      <c r="I25" s="49">
        <f t="shared" si="4"/>
        <v>229.36</v>
      </c>
      <c r="J25" s="49">
        <f t="shared" si="4"/>
        <v>283.52</v>
      </c>
      <c r="K25" s="49">
        <f t="shared" si="4"/>
        <v>166.1</v>
      </c>
      <c r="L25" s="49">
        <f t="shared" si="4"/>
        <v>9.77</v>
      </c>
      <c r="M25" s="49">
        <f t="shared" si="4"/>
        <v>175.87</v>
      </c>
      <c r="N25" s="48">
        <f t="shared" si="4"/>
        <v>137.63999999999999</v>
      </c>
      <c r="O25" s="28" t="str">
        <f>IF(G60&gt;0,"☆",IF(G60&lt;0,"★","--"))</f>
        <v>--</v>
      </c>
      <c r="P25" s="17"/>
      <c r="Q25" s="17"/>
      <c r="R25" s="17"/>
      <c r="S25" s="17"/>
      <c r="T25" s="17"/>
      <c r="U25" s="17"/>
      <c r="V25" s="17"/>
      <c r="W25" s="17"/>
      <c r="X25" s="17"/>
      <c r="Y25" s="17"/>
      <c r="Z25" s="17"/>
      <c r="AA25" s="17"/>
      <c r="AB25" s="17"/>
      <c r="AC25" s="17"/>
    </row>
    <row r="26" spans="1:32" ht="14.5" thickTop="1">
      <c r="A26" s="17"/>
      <c r="B26" s="17" t="s">
        <v>302</v>
      </c>
      <c r="C26" s="39">
        <f>C34+投資額!G33</f>
        <v>26190091</v>
      </c>
      <c r="D26" s="17"/>
      <c r="E26" s="25"/>
      <c r="F26" s="25"/>
      <c r="G26" s="25"/>
      <c r="H26" s="25"/>
      <c r="I26" s="25"/>
      <c r="J26" s="25"/>
      <c r="K26" s="25"/>
      <c r="L26" s="25"/>
      <c r="M26" s="25"/>
      <c r="N26" s="25"/>
      <c r="O26" s="17"/>
      <c r="P26" s="17"/>
      <c r="Q26" s="17"/>
      <c r="R26" s="17"/>
      <c r="S26" s="17"/>
      <c r="T26" s="17"/>
      <c r="U26" s="17"/>
      <c r="V26" s="17"/>
      <c r="W26" s="17"/>
      <c r="X26" s="17"/>
      <c r="Y26" s="17"/>
      <c r="Z26" s="17"/>
      <c r="AA26" s="17"/>
      <c r="AB26" s="17"/>
      <c r="AC26" s="17"/>
    </row>
    <row r="27" spans="1:32">
      <c r="A27" s="17"/>
      <c r="B27" s="17" t="s">
        <v>303</v>
      </c>
      <c r="C27" s="39">
        <f>C39+投資額!G33</f>
        <v>25304031</v>
      </c>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row>
    <row r="28" spans="1:32" ht="16.5">
      <c r="A28" s="17"/>
      <c r="B28" s="17" t="s">
        <v>304</v>
      </c>
      <c r="C28" s="39">
        <f>IF(C37=0,C35+投資額!G32,C35+C37+投資額!G32)</f>
        <v>8768959</v>
      </c>
      <c r="D28" s="17"/>
      <c r="E28" s="21" t="s">
        <v>305</v>
      </c>
      <c r="F28" s="17"/>
      <c r="G28" s="17"/>
      <c r="H28" s="17"/>
      <c r="I28" s="17"/>
      <c r="J28" s="17"/>
      <c r="K28" s="17"/>
      <c r="L28" s="17"/>
      <c r="M28" s="17"/>
      <c r="N28" s="17"/>
      <c r="O28" s="17"/>
      <c r="P28" s="17"/>
      <c r="Q28" s="17"/>
      <c r="R28" s="17"/>
      <c r="S28" s="17"/>
      <c r="T28" s="17"/>
      <c r="U28" s="17"/>
      <c r="V28" s="17"/>
      <c r="W28" s="17"/>
      <c r="X28" s="17"/>
      <c r="Y28" s="17"/>
      <c r="Z28" s="17"/>
      <c r="AA28" s="17"/>
      <c r="AB28" s="17"/>
      <c r="AC28" s="17"/>
      <c r="AD28" s="18"/>
      <c r="AE28" s="18"/>
      <c r="AF28" s="18"/>
    </row>
    <row r="29" spans="1:32">
      <c r="A29" s="17"/>
      <c r="B29" s="17" t="s">
        <v>303</v>
      </c>
      <c r="C29" s="39">
        <f>IF(C42=0,C40+(投資額!G32),C40+C42+(投資額!G32))</f>
        <v>7472069</v>
      </c>
      <c r="D29" s="17"/>
      <c r="E29" s="17"/>
      <c r="F29" s="50"/>
      <c r="G29" s="51"/>
      <c r="H29" s="27"/>
      <c r="I29" s="17" t="s">
        <v>306</v>
      </c>
      <c r="J29" s="17"/>
      <c r="K29" s="52"/>
      <c r="L29" s="17" t="s">
        <v>293</v>
      </c>
      <c r="M29" s="17"/>
      <c r="N29" s="53" t="s">
        <v>270</v>
      </c>
      <c r="O29" s="17"/>
      <c r="P29" s="17"/>
      <c r="Q29" s="17"/>
      <c r="R29" s="17"/>
      <c r="S29" s="17"/>
      <c r="T29" s="17"/>
      <c r="U29" s="17"/>
      <c r="V29" s="17"/>
      <c r="W29" s="17"/>
      <c r="X29" s="17"/>
      <c r="Y29" s="17"/>
      <c r="Z29" s="17"/>
      <c r="AA29" s="17"/>
      <c r="AB29" s="17"/>
      <c r="AC29" s="17"/>
    </row>
    <row r="30" spans="1:32" ht="14.5" thickBot="1">
      <c r="A30" s="17" t="s">
        <v>307</v>
      </c>
      <c r="B30" s="17"/>
      <c r="C30" s="39">
        <f>SUM(C25,C26,C28)</f>
        <v>47549600</v>
      </c>
      <c r="D30" s="39">
        <f>SUM(D$25,C26,C28)</f>
        <v>47549600</v>
      </c>
      <c r="E30" s="17"/>
      <c r="F30" s="54" t="s">
        <v>308</v>
      </c>
      <c r="G30" s="55" t="s">
        <v>309</v>
      </c>
      <c r="H30" s="28" t="s">
        <v>274</v>
      </c>
      <c r="I30" s="23" t="s">
        <v>275</v>
      </c>
      <c r="J30" s="23" t="s">
        <v>1152</v>
      </c>
      <c r="K30" s="53" t="s">
        <v>274</v>
      </c>
      <c r="L30" s="23" t="s">
        <v>275</v>
      </c>
      <c r="M30" s="23" t="s">
        <v>150</v>
      </c>
      <c r="N30" s="52"/>
      <c r="O30" s="17"/>
      <c r="P30" s="17"/>
      <c r="Q30" s="17"/>
      <c r="R30" s="17"/>
      <c r="S30" s="23"/>
      <c r="T30" s="23"/>
      <c r="U30" s="23"/>
      <c r="V30" s="23"/>
      <c r="W30" s="23"/>
      <c r="X30" s="23"/>
      <c r="Y30" s="17"/>
      <c r="Z30" s="17"/>
      <c r="AA30" s="17"/>
      <c r="AB30" s="17"/>
      <c r="AC30" s="17"/>
    </row>
    <row r="31" spans="1:32" ht="14.5" thickTop="1">
      <c r="A31" s="17"/>
      <c r="B31" s="17" t="s">
        <v>303</v>
      </c>
      <c r="C31" s="39">
        <f>SUM(C25,C27,C29)</f>
        <v>45366650</v>
      </c>
      <c r="D31" s="39">
        <f>SUM(D$25,C27,C29)</f>
        <v>45366650</v>
      </c>
      <c r="E31" s="25" t="s">
        <v>310</v>
      </c>
      <c r="F31" s="56"/>
      <c r="G31" s="57"/>
      <c r="H31" s="24"/>
      <c r="I31" s="58" t="s">
        <v>311</v>
      </c>
      <c r="J31" s="25"/>
      <c r="K31" s="59"/>
      <c r="L31" s="25"/>
      <c r="M31" s="25"/>
      <c r="N31" s="59"/>
      <c r="O31" s="17"/>
      <c r="P31" s="17"/>
      <c r="Q31" s="17"/>
      <c r="R31" s="17"/>
      <c r="S31" s="60"/>
      <c r="T31" s="17"/>
      <c r="U31" s="17"/>
      <c r="V31" s="17"/>
      <c r="W31" s="17"/>
      <c r="X31" s="17"/>
      <c r="Y31" s="17"/>
      <c r="Z31" s="17"/>
      <c r="AA31" s="17"/>
      <c r="AB31" s="17"/>
      <c r="AC31" s="17"/>
    </row>
    <row r="32" spans="1:32">
      <c r="A32" s="17"/>
      <c r="B32" s="17"/>
      <c r="C32" s="17"/>
      <c r="D32" s="17"/>
      <c r="E32" s="36" t="s">
        <v>312</v>
      </c>
      <c r="F32" s="61" t="s">
        <v>313</v>
      </c>
      <c r="G32" s="62"/>
      <c r="H32" s="35"/>
      <c r="I32" s="36"/>
      <c r="J32" s="36"/>
      <c r="K32" s="40"/>
      <c r="L32" s="36"/>
      <c r="M32" s="36">
        <f>G9*C21</f>
        <v>2280663.2078999998</v>
      </c>
      <c r="N32" s="40">
        <f>G9*C22</f>
        <v>3338117.7920999997</v>
      </c>
      <c r="O32" s="17"/>
      <c r="P32" s="17"/>
      <c r="Q32" s="17"/>
      <c r="R32" s="17"/>
      <c r="S32" s="17"/>
      <c r="T32" s="17"/>
      <c r="U32" s="17"/>
      <c r="V32" s="17"/>
      <c r="W32" s="17"/>
      <c r="X32" s="17"/>
      <c r="Y32" s="17"/>
      <c r="Z32" s="17"/>
      <c r="AA32" s="17"/>
      <c r="AB32" s="17"/>
      <c r="AC32" s="17"/>
    </row>
    <row r="33" spans="1:29">
      <c r="A33" s="17" t="s">
        <v>314</v>
      </c>
      <c r="B33" s="17"/>
      <c r="C33" s="17"/>
      <c r="D33" s="17"/>
      <c r="E33" s="17"/>
      <c r="F33" s="50" t="s">
        <v>315</v>
      </c>
      <c r="G33" s="51">
        <f>G9-(M33+N33)</f>
        <v>0</v>
      </c>
      <c r="H33" s="27"/>
      <c r="I33" s="17"/>
      <c r="J33" s="17"/>
      <c r="K33" s="52"/>
      <c r="L33" s="17"/>
      <c r="M33" s="39">
        <f>ROUND(M32,0)</f>
        <v>2280663</v>
      </c>
      <c r="N33" s="63">
        <f>ROUND(N32,0)</f>
        <v>3338118</v>
      </c>
      <c r="O33" s="17"/>
      <c r="P33" s="17"/>
      <c r="Q33" s="17"/>
      <c r="R33" s="17"/>
      <c r="S33" s="17"/>
      <c r="T33" s="17"/>
      <c r="U33" s="17"/>
      <c r="V33" s="17"/>
      <c r="W33" s="17"/>
      <c r="X33" s="17"/>
      <c r="Y33" s="17"/>
      <c r="Z33" s="17"/>
      <c r="AA33" s="17"/>
      <c r="AB33" s="17"/>
      <c r="AC33" s="17"/>
    </row>
    <row r="34" spans="1:29">
      <c r="A34" s="17"/>
      <c r="B34" s="17" t="s">
        <v>293</v>
      </c>
      <c r="C34" s="39">
        <f>ROUND(SUM(投資額!G28:H31)*C$18+投資額!G34*C$21,0)</f>
        <v>26096991</v>
      </c>
      <c r="D34" s="17"/>
      <c r="E34" s="36" t="s">
        <v>220</v>
      </c>
      <c r="F34" s="61" t="s">
        <v>849</v>
      </c>
      <c r="G34" s="342">
        <f>1-(J34+M34+N34)</f>
        <v>0</v>
      </c>
      <c r="H34" s="35"/>
      <c r="I34" s="36"/>
      <c r="J34" s="36">
        <f>IF(基本入力!$C$46&gt;0,ROUND(D$25/D$30,$B$2),IF(基本入力!$C$47&gt;0,ROUNDDOWN(D$25/D$30,$B$3),IF(基本入力!$C$48&gt;0,ROUNDUP(D$25/D$30,$B$4),D$25/D$30)))</f>
        <v>0.26478771640560594</v>
      </c>
      <c r="K34" s="40"/>
      <c r="L34" s="36"/>
      <c r="M34" s="36">
        <f>IF(基本入力!$C$46&gt;0,ROUND(C$26/D$30,$B$2),IF(基本入力!$C$47&gt;0,ROUNDDOWN(C$26/D$30,$B$3),IF(基本入力!$C$48&gt;0,ROUNDUP(C$26/D$30,$B$4),C$26/D$30)))</f>
        <v>0.55079519070612581</v>
      </c>
      <c r="N34" s="327">
        <f>IF(基本入力!$C$46&gt;0,ROUND(C$28/D$30,$B$2),IF(基本入力!$C$47&gt;0,ROUNDDOWN(C$28/D$30,$B$3),IF(基本入力!$C$48&gt;0,ROUNDUP(C$28/D$30,$B$4),C$28/D$30)))</f>
        <v>0.18441709288826824</v>
      </c>
      <c r="O34" s="17"/>
      <c r="P34" s="17"/>
      <c r="Q34" s="17"/>
      <c r="R34" s="17"/>
      <c r="S34" s="17"/>
      <c r="T34" s="17"/>
      <c r="U34" s="17"/>
      <c r="V34" s="17"/>
      <c r="W34" s="17"/>
      <c r="X34" s="17"/>
      <c r="Y34" s="17"/>
      <c r="Z34" s="17"/>
      <c r="AA34" s="17"/>
      <c r="AB34" s="17"/>
      <c r="AC34" s="17"/>
    </row>
    <row r="35" spans="1:29">
      <c r="A35" s="17"/>
      <c r="B35" s="17" t="s">
        <v>270</v>
      </c>
      <c r="C35" s="39">
        <f>ROUND(SUM(投資額!G28:H31)*C$19+投資額!G34*C$22,0)</f>
        <v>6387559</v>
      </c>
      <c r="D35" s="17"/>
      <c r="E35" s="17"/>
      <c r="F35" s="50" t="s">
        <v>313</v>
      </c>
      <c r="G35" s="51"/>
      <c r="H35" s="27"/>
      <c r="I35" s="17"/>
      <c r="J35" s="17">
        <f>G10*J34</f>
        <v>151086.01746702392</v>
      </c>
      <c r="K35" s="52"/>
      <c r="L35" s="17"/>
      <c r="M35" s="17">
        <f>G10*M34</f>
        <v>314279.88025058043</v>
      </c>
      <c r="N35" s="52">
        <f>G10*(N34+G34)</f>
        <v>105227.10228239564</v>
      </c>
      <c r="O35" s="17"/>
      <c r="P35" s="17"/>
      <c r="Q35" s="17"/>
      <c r="R35" s="17"/>
      <c r="S35" s="17"/>
      <c r="T35" s="17"/>
      <c r="U35" s="17"/>
      <c r="V35" s="17"/>
      <c r="W35" s="17"/>
      <c r="X35" s="17"/>
      <c r="Y35" s="17"/>
      <c r="Z35" s="17"/>
      <c r="AA35" s="17"/>
      <c r="AB35" s="17"/>
      <c r="AC35" s="17"/>
    </row>
    <row r="36" spans="1:29">
      <c r="A36" s="17"/>
      <c r="B36" s="17" t="s">
        <v>150</v>
      </c>
      <c r="C36" s="39">
        <f>SUM(C34:C35)</f>
        <v>32484550</v>
      </c>
      <c r="D36" s="17"/>
      <c r="E36" s="17"/>
      <c r="F36" s="50" t="s">
        <v>315</v>
      </c>
      <c r="G36" s="437">
        <f>G10-SUM(J36,M36,N36)</f>
        <v>0</v>
      </c>
      <c r="H36" s="27"/>
      <c r="I36" s="17"/>
      <c r="J36" s="17">
        <f>ROUND(J35,0)</f>
        <v>151086</v>
      </c>
      <c r="K36" s="52"/>
      <c r="L36" s="17"/>
      <c r="M36" s="17">
        <f>ROUND(M35,0)</f>
        <v>314280</v>
      </c>
      <c r="N36" s="52">
        <f>ROUND(N35,0)</f>
        <v>105227</v>
      </c>
      <c r="O36" s="17"/>
      <c r="P36" s="17"/>
      <c r="Q36" s="17"/>
      <c r="R36" s="17"/>
      <c r="S36" s="17"/>
      <c r="T36" s="17"/>
      <c r="U36" s="17"/>
      <c r="V36" s="17"/>
      <c r="W36" s="17"/>
      <c r="X36" s="17"/>
      <c r="Y36" s="17"/>
      <c r="Z36" s="17"/>
      <c r="AA36" s="17"/>
      <c r="AB36" s="17"/>
      <c r="AC36" s="17"/>
    </row>
    <row r="37" spans="1:29">
      <c r="A37" s="17"/>
      <c r="B37" s="17" t="s">
        <v>316</v>
      </c>
      <c r="C37" s="39">
        <f>SUM(投資額!G28:H31,投資額!G34)-C36</f>
        <v>0</v>
      </c>
      <c r="D37" s="17"/>
      <c r="E37" s="36" t="s">
        <v>317</v>
      </c>
      <c r="F37" s="61" t="s">
        <v>849</v>
      </c>
      <c r="G37" s="62">
        <f>1-(J37+M37+N37)</f>
        <v>0</v>
      </c>
      <c r="H37" s="35"/>
      <c r="I37" s="36"/>
      <c r="J37" s="36">
        <f>IF(基本入力!$C$46&gt;0,ROUND(C$25/C$30,$B$2),IF(基本入力!$C$47&gt;0,ROUNDDOWN(C$25/C$30,$B$3),IF(基本入力!$C$48&gt;0,ROUNDUP(C$25/C$30,$B$4),C$25/C$30)))</f>
        <v>0.26478771640560594</v>
      </c>
      <c r="K37" s="40"/>
      <c r="L37" s="36"/>
      <c r="M37" s="326">
        <f>IF(基本入力!$C$46&gt;0,ROUND(C$26/C$30,$B$2),IF(基本入力!$C$47&gt;0,ROUNDDOWN(C$26/C$30,$B$3),IF(基本入力!$C$48&gt;0,ROUNDUP(C$26/C$30,$B$4),C$26/C$30)))</f>
        <v>0.55079519070612581</v>
      </c>
      <c r="N37" s="40">
        <f>IF(基本入力!$C$46&gt;0,ROUND(C$28/C$30,$B$2),IF(基本入力!$C$47&gt;0,ROUNDDOWN(C$28/C$30,$B$3),IF(基本入力!$C$48&gt;0,ROUNDUP(C$28/C$30,$B$4),C$28/C$30)))</f>
        <v>0.18441709288826824</v>
      </c>
      <c r="O37" s="17"/>
      <c r="P37" s="17"/>
      <c r="Q37" s="17"/>
      <c r="R37" s="17"/>
      <c r="S37" s="17"/>
      <c r="T37" s="17"/>
      <c r="U37" s="17"/>
      <c r="V37" s="17"/>
      <c r="W37" s="17"/>
      <c r="X37" s="17"/>
      <c r="Y37" s="17"/>
      <c r="Z37" s="17"/>
      <c r="AA37" s="17"/>
      <c r="AB37" s="17"/>
      <c r="AC37" s="17"/>
    </row>
    <row r="38" spans="1:29">
      <c r="A38" s="17" t="s">
        <v>318</v>
      </c>
      <c r="B38" s="17"/>
      <c r="C38" s="39"/>
      <c r="D38" s="17"/>
      <c r="E38" s="17"/>
      <c r="F38" s="50" t="s">
        <v>313</v>
      </c>
      <c r="G38" s="51"/>
      <c r="H38" s="27"/>
      <c r="I38" s="17"/>
      <c r="J38" s="17">
        <f>$G11*J37</f>
        <v>55191.027669002477</v>
      </c>
      <c r="K38" s="52"/>
      <c r="L38" s="17"/>
      <c r="M38" s="17">
        <f>$G11*M37</f>
        <v>114804.99557483134</v>
      </c>
      <c r="N38" s="52">
        <f>$G11*(N37+G37)</f>
        <v>38438.976756166194</v>
      </c>
      <c r="O38" s="17"/>
      <c r="P38" s="17"/>
      <c r="Q38" s="17"/>
      <c r="R38" s="17"/>
      <c r="S38" s="17"/>
      <c r="T38" s="17"/>
      <c r="U38" s="17"/>
      <c r="V38" s="17"/>
      <c r="W38" s="17"/>
      <c r="X38" s="17"/>
      <c r="Y38" s="17"/>
      <c r="Z38" s="17"/>
      <c r="AA38" s="17"/>
      <c r="AB38" s="17"/>
      <c r="AC38" s="17"/>
    </row>
    <row r="39" spans="1:29">
      <c r="A39" s="17"/>
      <c r="B39" s="17" t="s">
        <v>293</v>
      </c>
      <c r="C39" s="39">
        <f>ROUND(SUM(投資額!G28:H31)*C$18,0)</f>
        <v>25210931</v>
      </c>
      <c r="D39" s="17"/>
      <c r="E39" s="17"/>
      <c r="F39" s="50" t="s">
        <v>315</v>
      </c>
      <c r="G39" s="51">
        <f>G11-SUM(J39,M39,N39)</f>
        <v>0</v>
      </c>
      <c r="H39" s="27"/>
      <c r="I39" s="17"/>
      <c r="J39" s="17">
        <f>ROUND(J38,0)</f>
        <v>55191</v>
      </c>
      <c r="K39" s="52"/>
      <c r="L39" s="17"/>
      <c r="M39" s="17">
        <f>ROUND(M38,0)</f>
        <v>114805</v>
      </c>
      <c r="N39" s="52">
        <f>ROUND(N38,0)</f>
        <v>38439</v>
      </c>
      <c r="O39" s="17"/>
      <c r="P39" s="17"/>
      <c r="Q39" s="17"/>
      <c r="R39" s="17"/>
      <c r="S39" s="17"/>
      <c r="T39" s="17"/>
      <c r="U39" s="17"/>
      <c r="V39" s="17"/>
      <c r="W39" s="17"/>
      <c r="X39" s="17"/>
      <c r="Y39" s="17"/>
      <c r="Z39" s="17"/>
      <c r="AA39" s="17"/>
      <c r="AB39" s="17"/>
      <c r="AC39" s="17"/>
    </row>
    <row r="40" spans="1:29">
      <c r="A40" s="17"/>
      <c r="B40" s="17" t="s">
        <v>270</v>
      </c>
      <c r="C40" s="39">
        <f>ROUND(SUM(投資額!G28:H31)*C$19,0)</f>
        <v>5090669</v>
      </c>
      <c r="D40" s="17"/>
      <c r="E40" s="105" t="s">
        <v>161</v>
      </c>
      <c r="F40" s="106"/>
      <c r="G40" s="107"/>
      <c r="H40" s="108"/>
      <c r="I40" s="105"/>
      <c r="J40" s="105"/>
      <c r="K40" s="110" t="s">
        <v>311</v>
      </c>
      <c r="L40" s="105"/>
      <c r="M40" s="105"/>
      <c r="N40" s="109"/>
      <c r="O40" s="17"/>
      <c r="P40" s="17"/>
      <c r="Q40" s="17"/>
      <c r="R40" s="17"/>
      <c r="S40" s="17"/>
      <c r="T40" s="17"/>
      <c r="U40" s="17"/>
      <c r="V40" s="17"/>
      <c r="W40" s="17"/>
      <c r="X40" s="17"/>
      <c r="Y40" s="17"/>
      <c r="Z40" s="17"/>
      <c r="AA40" s="17"/>
      <c r="AB40" s="17"/>
      <c r="AC40" s="17"/>
    </row>
    <row r="41" spans="1:29">
      <c r="A41" s="17"/>
      <c r="B41" s="17" t="s">
        <v>150</v>
      </c>
      <c r="C41" s="39">
        <f>SUM(C39:C40)</f>
        <v>30301600</v>
      </c>
      <c r="D41" s="17"/>
      <c r="E41" s="104" t="s">
        <v>319</v>
      </c>
      <c r="F41" s="61" t="s">
        <v>849</v>
      </c>
      <c r="G41" s="51">
        <f>1-(J41+M41+N41)</f>
        <v>0</v>
      </c>
      <c r="H41" s="27"/>
      <c r="I41" s="104"/>
      <c r="J41" s="104">
        <f>IF(基本入力!$C$46&gt;0,ROUND(D$25/D31,$B$2),IF(基本入力!$C$47&gt;0,ROUNDDOWN(D$25/D31,$B$3),IF(基本入力!$C$48&gt;0,ROUNDUP(D$25/D31,$B$4),D$25/D31)))</f>
        <v>0.27752875735810334</v>
      </c>
      <c r="K41" s="52"/>
      <c r="L41" s="104"/>
      <c r="M41" s="104">
        <f>IF(基本入力!$C$46&gt;0,ROUND(C$27/D31,$B$2),IF(基本入力!$C$47&gt;0,ROUNDDOWN(C$27/D31,$B$3),IF(基本入力!$C$48&gt;0,ROUNDUP(C$27/D31,$B$4),C$27/D31)))</f>
        <v>0.55776723650523019</v>
      </c>
      <c r="N41" s="52">
        <f>IF(基本入力!$C$46&gt;0,ROUND(C$29/D31,$B$2),IF(基本入力!$C$47&gt;0,ROUNDDOWN(C$29/D31,$B$3),IF(基本入力!$C$48&gt;0,ROUNDUP(C$29/D31,$B$4),C$29/D31)))</f>
        <v>0.16470400613666647</v>
      </c>
      <c r="O41" s="17"/>
      <c r="P41" s="17"/>
      <c r="Q41" s="17"/>
      <c r="R41" s="17"/>
      <c r="S41" s="17"/>
      <c r="T41" s="17"/>
      <c r="U41" s="17"/>
      <c r="V41" s="17"/>
      <c r="W41" s="17"/>
      <c r="X41" s="17"/>
      <c r="Y41" s="17"/>
      <c r="Z41" s="17"/>
      <c r="AA41" s="17"/>
      <c r="AB41" s="17"/>
      <c r="AC41" s="17"/>
    </row>
    <row r="42" spans="1:29">
      <c r="A42" s="17"/>
      <c r="B42" s="17" t="s">
        <v>316</v>
      </c>
      <c r="C42" s="39">
        <f>SUM(投資額!G28:H31)-C41</f>
        <v>0</v>
      </c>
      <c r="D42" s="17"/>
      <c r="E42" s="17" t="s">
        <v>162</v>
      </c>
      <c r="F42" s="50" t="s">
        <v>313</v>
      </c>
      <c r="G42" s="51"/>
      <c r="H42" s="27"/>
      <c r="I42" s="17"/>
      <c r="J42" s="17">
        <f>G13*J41</f>
        <v>1010043.4325754711</v>
      </c>
      <c r="K42" s="52"/>
      <c r="L42" s="17"/>
      <c r="M42" s="17">
        <f>G13*M41</f>
        <v>2029948.6781146284</v>
      </c>
      <c r="N42" s="52">
        <f>G13*(N41+G41)</f>
        <v>599426.88930990058</v>
      </c>
      <c r="O42" s="17"/>
      <c r="P42" s="17"/>
      <c r="Q42" s="17"/>
      <c r="R42" s="17"/>
      <c r="S42" s="17"/>
      <c r="T42" s="17"/>
      <c r="U42" s="17"/>
      <c r="V42" s="17"/>
      <c r="W42" s="17"/>
      <c r="X42" s="17"/>
      <c r="Y42" s="17"/>
      <c r="Z42" s="17"/>
      <c r="AA42" s="17"/>
      <c r="AB42" s="17"/>
      <c r="AC42" s="17"/>
    </row>
    <row r="43" spans="1:29">
      <c r="A43" s="17"/>
      <c r="D43" s="17"/>
      <c r="E43" s="17" t="s">
        <v>179</v>
      </c>
      <c r="F43" s="50" t="s">
        <v>315</v>
      </c>
      <c r="G43" s="51">
        <f>G13:G13-SUM(J43,M43,N43)</f>
        <v>0</v>
      </c>
      <c r="H43" s="27"/>
      <c r="I43" s="17"/>
      <c r="J43" s="17">
        <f>ROUND(J42,0)</f>
        <v>1010043</v>
      </c>
      <c r="K43" s="52"/>
      <c r="L43" s="17"/>
      <c r="M43" s="17">
        <f>ROUND(M42,0)</f>
        <v>2029949</v>
      </c>
      <c r="N43" s="52">
        <f>ROUND(N42,0)</f>
        <v>599427</v>
      </c>
      <c r="O43" s="17"/>
      <c r="P43" s="17"/>
      <c r="Q43" s="17"/>
      <c r="R43" s="17"/>
      <c r="S43" s="17"/>
      <c r="T43" s="17"/>
      <c r="U43" s="17"/>
      <c r="V43" s="17"/>
      <c r="W43" s="17"/>
      <c r="X43" s="17"/>
      <c r="Y43" s="17"/>
      <c r="Z43" s="17"/>
      <c r="AA43" s="17"/>
      <c r="AB43" s="17"/>
      <c r="AC43" s="17"/>
    </row>
    <row r="44" spans="1:29">
      <c r="A44" s="17"/>
      <c r="B44" s="17"/>
      <c r="C44" s="17"/>
      <c r="D44" s="17"/>
      <c r="E44" s="17" t="s">
        <v>320</v>
      </c>
      <c r="F44" s="50" t="s">
        <v>313</v>
      </c>
      <c r="G44" s="51"/>
      <c r="H44" s="27"/>
      <c r="I44" s="17"/>
      <c r="J44" s="17"/>
      <c r="K44" s="52"/>
      <c r="L44" s="17"/>
      <c r="M44" s="17">
        <f>G14*C21</f>
        <v>177211.88099999999</v>
      </c>
      <c r="N44" s="52">
        <f>G14*C22</f>
        <v>259378.11899999998</v>
      </c>
      <c r="O44" s="17"/>
      <c r="P44" s="17"/>
      <c r="Q44" s="17"/>
      <c r="R44" s="17"/>
      <c r="S44" s="17"/>
      <c r="T44" s="17"/>
      <c r="U44" s="17"/>
      <c r="V44" s="17"/>
      <c r="W44" s="17"/>
      <c r="X44" s="17"/>
      <c r="Y44" s="17"/>
      <c r="Z44" s="17"/>
      <c r="AA44" s="17"/>
      <c r="AB44" s="17"/>
      <c r="AC44" s="17"/>
    </row>
    <row r="45" spans="1:29">
      <c r="A45" s="17"/>
      <c r="B45" s="17"/>
      <c r="C45" s="17"/>
      <c r="D45" s="17"/>
      <c r="E45" s="17"/>
      <c r="F45" s="50" t="s">
        <v>315</v>
      </c>
      <c r="G45" s="51">
        <f>G14-SUM(M45,N45)</f>
        <v>0</v>
      </c>
      <c r="H45" s="27"/>
      <c r="I45" s="17"/>
      <c r="J45" s="17"/>
      <c r="K45" s="52"/>
      <c r="L45" s="17"/>
      <c r="M45" s="17">
        <f>ROUND(M44,0)</f>
        <v>177212</v>
      </c>
      <c r="N45" s="52">
        <f>ROUND(N44,0)</f>
        <v>259378</v>
      </c>
      <c r="O45" s="17"/>
      <c r="P45" s="17"/>
      <c r="Q45" s="17"/>
      <c r="R45" s="17"/>
      <c r="S45" s="17"/>
      <c r="T45" s="17"/>
      <c r="U45" s="17"/>
      <c r="V45" s="17"/>
      <c r="W45" s="17"/>
      <c r="X45" s="17"/>
      <c r="Y45" s="17"/>
      <c r="Z45" s="17"/>
      <c r="AA45" s="17"/>
      <c r="AB45" s="17"/>
      <c r="AC45" s="17"/>
    </row>
    <row r="46" spans="1:29">
      <c r="A46" s="17"/>
      <c r="B46" s="17"/>
      <c r="C46" s="17"/>
      <c r="D46" s="17"/>
      <c r="E46" s="36" t="s">
        <v>321</v>
      </c>
      <c r="F46" s="61" t="s">
        <v>849</v>
      </c>
      <c r="G46" s="62">
        <f>1-(J46+M46+N46)</f>
        <v>0</v>
      </c>
      <c r="H46" s="328">
        <f>IF(基本入力!$C$46&gt;0,ROUND(SUM(G9:G12,G15)/G16,$B$2),IF(基本入力!$C$47&gt;0,ROUNDDOWN(SUM(G9:G12,G15)/G16,$B$3),IF(基本入力!$C$48&gt;0,ROUNDUP(SUM(G9:G12,G15)/G16,$B$4),SUM(G9:G12,G15)/G16)))</f>
        <v>0.57425759665621057</v>
      </c>
      <c r="I46" s="36">
        <f>IF(基本入力!$C$46&gt;0,ROUND(G8/G16,$B$2),IF(基本入力!$C$47&gt;0,ROUNDDOWN(G8/G16,$B$3),IF(基本入力!$C$48&gt;0,ROUNDUP(G8/G16,$B$4),G8/G16)))</f>
        <v>0.42574240334378943</v>
      </c>
      <c r="J46" s="36">
        <f>IF(基本入力!$C$46&gt;0,ROUND(J16/$G$16,$B$2),IF(基本入力!$C$47&gt;0,ROUNDDOWN(J16/$G$16,$B$3),IF(基本入力!$C$48&gt;0,ROUNDUP(J16/$G$16,$B$4),J16/$G$16)))</f>
        <v>0.49135631924229822</v>
      </c>
      <c r="K46" s="40"/>
      <c r="L46" s="36"/>
      <c r="M46" s="36">
        <f>IF(基本入力!$C$46&gt;0,ROUND(M16/$G$16,$B$2),IF(基本入力!$C$47&gt;0,ROUNDDOWN(M16/$G$16,$B$3),IF(基本入力!$C$48&gt;0,ROUNDUP(M16/$G$16,$B$4),M16/$G$16)))</f>
        <v>0.27449227192121756</v>
      </c>
      <c r="N46" s="40">
        <f>IF(基本入力!$C$46&gt;0,ROUND(N16/$G$16,$B$2),IF(基本入力!$C$47&gt;0,ROUNDDOWN(N16/$G$16,$B$3),IF(基本入力!$C$48&gt;0,ROUNDUP(N16/$G$16,$B$4),N16/$G$16)))</f>
        <v>0.23415140883648422</v>
      </c>
      <c r="O46" s="17"/>
      <c r="P46" s="17"/>
      <c r="Q46" s="17"/>
      <c r="R46" s="17"/>
      <c r="S46" s="17"/>
      <c r="T46" s="17"/>
      <c r="U46" s="17"/>
      <c r="V46" s="17"/>
      <c r="W46" s="17"/>
      <c r="X46" s="17"/>
      <c r="Y46" s="17"/>
      <c r="Z46" s="17"/>
      <c r="AA46" s="17"/>
      <c r="AB46" s="17"/>
      <c r="AC46" s="17"/>
    </row>
    <row r="47" spans="1:29">
      <c r="A47" s="17"/>
      <c r="B47" s="17"/>
      <c r="C47" s="17"/>
      <c r="D47" s="17"/>
      <c r="E47" s="17"/>
      <c r="F47" s="50" t="s">
        <v>322</v>
      </c>
      <c r="G47" s="51">
        <f>G17-SUM(J47,M47,N47)</f>
        <v>1</v>
      </c>
      <c r="H47" s="27">
        <f>ROUND(J17*H46,0)</f>
        <v>784597</v>
      </c>
      <c r="I47" s="17">
        <f>ROUND(J17*I46,0)</f>
        <v>581683</v>
      </c>
      <c r="J47" s="17">
        <f>ROUND($G17*J46,0)</f>
        <v>1366280</v>
      </c>
      <c r="K47" s="52">
        <f>ROUND(M17*H46,0)</f>
        <v>438308</v>
      </c>
      <c r="L47" s="17">
        <f>ROUND(M17*I46,0)</f>
        <v>324953</v>
      </c>
      <c r="M47" s="17">
        <f>ROUND($G17*M46,0)</f>
        <v>763261</v>
      </c>
      <c r="N47" s="52">
        <f>ROUND($G17*(N46+G46),0)</f>
        <v>651088</v>
      </c>
      <c r="O47" s="17"/>
      <c r="P47" s="17"/>
      <c r="Q47" s="17"/>
      <c r="R47" s="17"/>
      <c r="S47" s="17"/>
      <c r="T47" s="17"/>
      <c r="U47" s="17"/>
      <c r="V47" s="17"/>
      <c r="W47" s="17"/>
      <c r="X47" s="17"/>
      <c r="Y47" s="17"/>
      <c r="Z47" s="17"/>
      <c r="AA47" s="17"/>
      <c r="AB47" s="17"/>
      <c r="AC47" s="17"/>
    </row>
    <row r="48" spans="1:29">
      <c r="A48" s="17"/>
      <c r="B48" s="17"/>
      <c r="C48" s="17"/>
      <c r="D48" s="17"/>
      <c r="E48" s="17"/>
      <c r="F48" s="50" t="s">
        <v>323</v>
      </c>
      <c r="G48" s="51"/>
      <c r="H48" s="436">
        <f>J17-(H47+I47)</f>
        <v>0</v>
      </c>
      <c r="I48" s="17"/>
      <c r="J48" s="17">
        <f>J47+G47</f>
        <v>1366281</v>
      </c>
      <c r="K48" s="52">
        <f>M17-(K47+L47)</f>
        <v>0</v>
      </c>
      <c r="L48" s="17"/>
      <c r="M48" s="17">
        <f>M47+G47</f>
        <v>763262</v>
      </c>
      <c r="N48" s="52">
        <f>N47+G47</f>
        <v>651089</v>
      </c>
      <c r="O48" s="17"/>
      <c r="P48" s="17"/>
      <c r="Q48" s="17"/>
      <c r="R48" s="17"/>
      <c r="S48" s="17"/>
      <c r="T48" s="17"/>
      <c r="U48" s="17"/>
      <c r="V48" s="17"/>
      <c r="W48" s="17"/>
      <c r="X48" s="17"/>
      <c r="Y48" s="17"/>
      <c r="Z48" s="17"/>
      <c r="AA48" s="17"/>
      <c r="AB48" s="17"/>
      <c r="AC48" s="17"/>
    </row>
    <row r="49" spans="1:29">
      <c r="A49" s="17"/>
      <c r="B49" s="17"/>
      <c r="C49" s="17"/>
      <c r="D49" s="17"/>
      <c r="E49" s="36" t="s">
        <v>807</v>
      </c>
      <c r="F49" s="61" t="s">
        <v>850</v>
      </c>
      <c r="G49" s="62"/>
      <c r="H49" s="328">
        <f>IF(基本入力!$C$46&gt;0,ROUND(H18/$J$18,$B$2),IF(基本入力!$C$47&gt;0,ROUNDDOWN(H18/$J$18,$B$3),IF(基本入力!$C$48&gt;0,ROUNDUP(H18/$J$18,$B$4),H18/$J$18)))</f>
        <v>0.1910217394811726</v>
      </c>
      <c r="I49" s="326">
        <f>IF(基本入力!$C$46&gt;0,ROUND(I18/$J$18,$B$2),IF(基本入力!$C$47&gt;0,ROUNDDOWN(I18/$J$18,$B$3),IF(基本入力!$C$48&gt;0,ROUNDUP(I18/$J$18,$B$4),I18/$J$18)))</f>
        <v>0.80897826051882737</v>
      </c>
      <c r="J49" s="36">
        <f>$G19*J37</f>
        <v>411711.00618301734</v>
      </c>
      <c r="K49" s="40">
        <f>IF(基本入力!$C$46&gt;0,ROUND(K18/M18,$B$2),IF(基本入力!$C$47&gt;0,ROUNDDOWN(K18/M18,$B$3),IF(基本入力!$C$48&gt;0,ROUNDUP(K18/M18,$B$4),K18/M18)))</f>
        <v>0.94446833126269936</v>
      </c>
      <c r="L49" s="36">
        <f>IF(基本入力!$C$46&gt;0,ROUND(L18/M18,$B$2),IF(基本入力!$C$47&gt;0,ROUNDDOWN(L18/M18,$B$3),IF(基本入力!$C$48&gt;0,ROUNDUP(L18/M18,$B$4),L18/M18)))</f>
        <v>5.5531668737300637E-2</v>
      </c>
      <c r="M49" s="36">
        <f>$G19*M37</f>
        <v>856416.01976361522</v>
      </c>
      <c r="N49" s="40">
        <f>$G19*(N37+G37)</f>
        <v>286744.97405336739</v>
      </c>
      <c r="O49" s="17"/>
      <c r="P49" s="17"/>
      <c r="Q49" s="17"/>
      <c r="R49" s="17"/>
      <c r="S49" s="17"/>
      <c r="T49" s="17"/>
      <c r="U49" s="17"/>
      <c r="V49" s="17"/>
      <c r="W49" s="17"/>
      <c r="X49" s="17"/>
      <c r="Y49" s="17"/>
      <c r="Z49" s="17"/>
      <c r="AA49" s="17"/>
      <c r="AB49" s="17"/>
      <c r="AC49" s="17"/>
    </row>
    <row r="50" spans="1:29">
      <c r="A50" s="17"/>
      <c r="B50" s="17"/>
      <c r="C50" s="17"/>
      <c r="D50" s="17"/>
      <c r="E50" s="17"/>
      <c r="F50" s="50" t="s">
        <v>315</v>
      </c>
      <c r="G50" s="51">
        <f>G19-SUM(J50,M50,N50)</f>
        <v>0</v>
      </c>
      <c r="H50" s="27">
        <f>ROUND($J19*$H49,0)</f>
        <v>78646</v>
      </c>
      <c r="I50" s="17">
        <f>ROUND($J19*$I49,0)</f>
        <v>333065</v>
      </c>
      <c r="J50" s="17">
        <f>ROUND(J49,0)</f>
        <v>411711</v>
      </c>
      <c r="K50" s="52">
        <f>ROUND($M19*$K49,0)</f>
        <v>808858</v>
      </c>
      <c r="L50" s="17">
        <f>ROUND($M19*$L49,0)</f>
        <v>47558</v>
      </c>
      <c r="M50" s="17">
        <f>ROUND(M49,0)</f>
        <v>856416</v>
      </c>
      <c r="N50" s="52">
        <f>ROUND(N49,0)</f>
        <v>286745</v>
      </c>
      <c r="O50" s="17"/>
      <c r="P50" s="17"/>
      <c r="Q50" s="17"/>
      <c r="R50" s="17"/>
      <c r="S50" s="17"/>
      <c r="T50" s="17"/>
      <c r="U50" s="17"/>
      <c r="V50" s="17"/>
      <c r="W50" s="17"/>
      <c r="X50" s="17"/>
      <c r="Y50" s="17"/>
      <c r="Z50" s="17"/>
      <c r="AA50" s="17"/>
      <c r="AB50" s="17"/>
      <c r="AC50" s="17"/>
    </row>
    <row r="51" spans="1:29">
      <c r="A51" s="17"/>
      <c r="B51" s="17"/>
      <c r="C51" s="17"/>
      <c r="D51" s="17"/>
      <c r="E51" s="17"/>
      <c r="F51" s="50" t="s">
        <v>323</v>
      </c>
      <c r="G51" s="51"/>
      <c r="H51" s="27">
        <f>J19-(H50+I50)</f>
        <v>0</v>
      </c>
      <c r="I51" s="17"/>
      <c r="J51" s="17">
        <f>J50+G50</f>
        <v>411711</v>
      </c>
      <c r="K51" s="52">
        <f>M19-(K50+L50)</f>
        <v>0</v>
      </c>
      <c r="L51" s="17"/>
      <c r="M51" s="17">
        <f>M50+G50</f>
        <v>856416</v>
      </c>
      <c r="N51" s="52">
        <f>N50+G50</f>
        <v>286745</v>
      </c>
      <c r="O51" s="17"/>
      <c r="P51" s="17"/>
      <c r="Q51" s="17"/>
      <c r="R51" s="17"/>
      <c r="S51" s="17"/>
      <c r="T51" s="17"/>
      <c r="U51" s="17"/>
      <c r="V51" s="17"/>
      <c r="W51" s="17"/>
      <c r="X51" s="17"/>
      <c r="Y51" s="17"/>
      <c r="Z51" s="17"/>
      <c r="AA51" s="17"/>
      <c r="AB51" s="17"/>
      <c r="AC51" s="17"/>
    </row>
    <row r="52" spans="1:29">
      <c r="A52" s="17"/>
      <c r="B52" s="17"/>
      <c r="C52" s="17"/>
      <c r="D52" s="17"/>
      <c r="E52" s="36" t="s">
        <v>1184</v>
      </c>
      <c r="F52" s="61" t="s">
        <v>313</v>
      </c>
      <c r="G52" s="62"/>
      <c r="H52" s="35"/>
      <c r="I52" s="36"/>
      <c r="J52" s="36">
        <f>$G20*J37</f>
        <v>30762.94024448681</v>
      </c>
      <c r="K52" s="40"/>
      <c r="L52" s="36"/>
      <c r="M52" s="36">
        <f>$G20*M37</f>
        <v>63991.184215993089</v>
      </c>
      <c r="N52" s="40">
        <f>$G20*(N37+G37)</f>
        <v>21425.510539520099</v>
      </c>
      <c r="O52" s="17"/>
      <c r="P52" s="17"/>
      <c r="Q52" s="17"/>
      <c r="R52" s="17"/>
      <c r="S52" s="17"/>
      <c r="T52" s="17"/>
      <c r="U52" s="17"/>
      <c r="V52" s="17"/>
      <c r="W52" s="17"/>
      <c r="X52" s="17"/>
      <c r="Y52" s="17"/>
      <c r="Z52" s="17"/>
      <c r="AA52" s="17"/>
      <c r="AB52" s="17"/>
      <c r="AC52" s="17"/>
    </row>
    <row r="53" spans="1:29">
      <c r="A53" s="17"/>
      <c r="B53" s="17"/>
      <c r="C53" s="17"/>
      <c r="D53" s="17"/>
      <c r="E53" s="17" t="s">
        <v>1185</v>
      </c>
      <c r="F53" s="50" t="s">
        <v>315</v>
      </c>
      <c r="G53" s="51">
        <f>G20-SUM(J53,M53,N53)</f>
        <v>-0.36500000000523869</v>
      </c>
      <c r="H53" s="27">
        <f>ROUND($J20*H49,0)</f>
        <v>5876</v>
      </c>
      <c r="I53" s="17">
        <f>ROUND($J20*I49,0)</f>
        <v>24887</v>
      </c>
      <c r="J53" s="17">
        <f>ROUND(J52,0)</f>
        <v>30763</v>
      </c>
      <c r="K53" s="52">
        <f>ROUND($M20*K49,0)</f>
        <v>60437</v>
      </c>
      <c r="L53" s="17">
        <f>ROUND($M20*L49,0)</f>
        <v>3554</v>
      </c>
      <c r="M53" s="17">
        <f>ROUND(M52,0)</f>
        <v>63991</v>
      </c>
      <c r="N53" s="52">
        <f>ROUND(N52,0)</f>
        <v>21426</v>
      </c>
      <c r="O53" s="17"/>
      <c r="P53" s="17"/>
      <c r="Q53" s="17"/>
      <c r="R53" s="17"/>
      <c r="S53" s="17"/>
      <c r="T53" s="17"/>
      <c r="U53" s="17"/>
      <c r="V53" s="17"/>
      <c r="W53" s="17"/>
      <c r="X53" s="17"/>
      <c r="Y53" s="17"/>
      <c r="Z53" s="17"/>
      <c r="AA53" s="17"/>
      <c r="AB53" s="17"/>
      <c r="AC53" s="17"/>
    </row>
    <row r="54" spans="1:29">
      <c r="A54" s="17"/>
      <c r="B54" s="17"/>
      <c r="C54" s="17"/>
      <c r="D54" s="17"/>
      <c r="E54" s="17" t="s">
        <v>324</v>
      </c>
      <c r="F54" s="50" t="s">
        <v>323</v>
      </c>
      <c r="G54" s="51"/>
      <c r="H54" s="27">
        <f>J20-(H53+I53)</f>
        <v>0</v>
      </c>
      <c r="I54" s="17"/>
      <c r="J54" s="17">
        <f>J53+G53</f>
        <v>30762.634999999995</v>
      </c>
      <c r="K54" s="52">
        <f>M20-(K53+L53)</f>
        <v>0</v>
      </c>
      <c r="L54" s="17"/>
      <c r="M54" s="17">
        <f>M53+G53</f>
        <v>63990.634999999995</v>
      </c>
      <c r="N54" s="52">
        <f>N53+G53</f>
        <v>21425.634999999995</v>
      </c>
      <c r="O54" s="17"/>
      <c r="P54" s="17"/>
      <c r="Q54" s="17"/>
      <c r="R54" s="17"/>
      <c r="S54" s="17"/>
      <c r="T54" s="17"/>
      <c r="U54" s="17"/>
      <c r="V54" s="17"/>
      <c r="W54" s="17"/>
      <c r="X54" s="17"/>
      <c r="Y54" s="17"/>
      <c r="Z54" s="17"/>
      <c r="AA54" s="17"/>
      <c r="AB54" s="17"/>
      <c r="AC54" s="17"/>
    </row>
    <row r="55" spans="1:29">
      <c r="A55" s="17"/>
      <c r="B55" s="17"/>
      <c r="C55" s="17"/>
      <c r="D55" s="17"/>
      <c r="E55" s="36" t="s">
        <v>325</v>
      </c>
      <c r="F55" s="61" t="s">
        <v>849</v>
      </c>
      <c r="G55" s="62">
        <f>1-(J55+M55+N55)</f>
        <v>0</v>
      </c>
      <c r="H55" s="328">
        <f>IF(基本入力!$C$46&gt;0,ROUND(H21/J21,$B$2),IF(基本入力!$C$47&gt;0,ROUNDDOWN(H21/J21,$B$3),IF(基本入力!$C$48&gt;0,ROUNDUP(H21/J21,$B$4),H21/J21)))</f>
        <v>0.1910217254524865</v>
      </c>
      <c r="I55" s="326">
        <f>IF(基本入力!$C$46&gt;0,ROUND(I21/J21,$B$2),IF(基本入力!$C$47&gt;0,ROUNDDOWN(I21/J21,$B$3),IF(基本入力!$C$48&gt;0,ROUNDUP(I21/J21,$B$4),I21/J21)))</f>
        <v>0.80897827454751348</v>
      </c>
      <c r="J55" s="36">
        <f>IF(基本入力!$C$46&gt;0,ROUND(J21/G21,$B$2),IF(基本入力!$C$47&gt;0,ROUNDDOWN(J21/G21,$B$3),IF(基本入力!$C$48&gt;0,ROUNDUP(J21/G21,$B$4),J21/G21)))</f>
        <v>0.47488738189227675</v>
      </c>
      <c r="K55" s="40">
        <f>IF(基本入力!$C$46&gt;0,ROUND(K21/M21,$B$2),IF(基本入力!$C$47&gt;0,ROUNDDOWN(K21/M21,$B$3),IF(基本入力!$C$48&gt;0,ROUNDUP(K21/M21,$B$4),K21/M21)))</f>
        <v>0.94446829237174945</v>
      </c>
      <c r="L55" s="36">
        <f>IF(基本入力!$C$46&gt;0,ROUND(L21/M21,$B$2),IF(基本入力!$C$47&gt;0,ROUNDDOWN(L21/M21,$B$3),IF(基本入力!$C$48&gt;0,ROUNDUP(L21/M21,$B$4),L21/M21)))</f>
        <v>5.5531707628250535E-2</v>
      </c>
      <c r="M55" s="36">
        <f>IF(基本入力!$C$46&gt;0,ROUND(M21/G21,$B$2),IF(基本入力!$C$47&gt;0,ROUNDDOWN(M21/G21,$B$3),IF(基本入力!$C$48&gt;0,ROUNDUP(M21/G21,$B$4),M21/G21)))</f>
        <v>0.29457629139024227</v>
      </c>
      <c r="N55" s="40">
        <f>IF(基本入力!$C$46&gt;0,ROUND(N21/G21,$B$2),IF(基本入力!$C$47&gt;0,ROUNDDOWN(N21/G21,$B$3),IF(基本入力!$C$48&gt;0,ROUNDUP(N21/G21,$B$4),N21/G21)))</f>
        <v>0.23053632671748087</v>
      </c>
      <c r="O55" s="17"/>
      <c r="P55" s="17"/>
      <c r="Q55" s="17"/>
      <c r="R55" s="17"/>
      <c r="S55" s="17"/>
      <c r="T55" s="17"/>
      <c r="U55" s="17"/>
      <c r="V55" s="17"/>
      <c r="W55" s="17"/>
      <c r="X55" s="17"/>
      <c r="Y55" s="17"/>
      <c r="Z55" s="17"/>
      <c r="AA55" s="17"/>
      <c r="AB55" s="17"/>
      <c r="AC55" s="17"/>
    </row>
    <row r="56" spans="1:29">
      <c r="A56" s="17"/>
      <c r="B56" s="17"/>
      <c r="C56" s="17"/>
      <c r="D56" s="17"/>
      <c r="E56" s="17"/>
      <c r="F56" s="50" t="s">
        <v>322</v>
      </c>
      <c r="G56" s="51">
        <f>G22-SUM(J56,M56,N56)</f>
        <v>0</v>
      </c>
      <c r="H56" s="27">
        <f>ROUND($J22*$H55,0)</f>
        <v>448</v>
      </c>
      <c r="I56" s="17">
        <f>ROUND($J22*$I55,0)</f>
        <v>1899</v>
      </c>
      <c r="J56" s="17">
        <f>ROUND($G22*J55,0)</f>
        <v>2347</v>
      </c>
      <c r="K56" s="52">
        <f>ROUND($M22*$K55,0)</f>
        <v>1375</v>
      </c>
      <c r="L56" s="17">
        <f>ROUND($M22*$L55,0)</f>
        <v>81</v>
      </c>
      <c r="M56" s="17">
        <f>ROUND($G22*M55,0)</f>
        <v>1456</v>
      </c>
      <c r="N56" s="52">
        <f>ROUND($G22*(N55+G55),0)</f>
        <v>1139</v>
      </c>
      <c r="O56" s="17"/>
      <c r="P56" s="17"/>
      <c r="Q56" s="17"/>
      <c r="R56" s="17"/>
      <c r="S56" s="17"/>
      <c r="T56" s="17"/>
      <c r="U56" s="17"/>
      <c r="V56" s="17"/>
      <c r="W56" s="17"/>
      <c r="X56" s="17"/>
      <c r="Y56" s="17"/>
      <c r="Z56" s="17"/>
      <c r="AA56" s="17"/>
      <c r="AB56" s="17"/>
      <c r="AC56" s="17"/>
    </row>
    <row r="57" spans="1:29">
      <c r="A57" s="17"/>
      <c r="B57" s="17"/>
      <c r="C57" s="17"/>
      <c r="D57" s="17"/>
      <c r="E57" s="17"/>
      <c r="F57" s="50" t="s">
        <v>323</v>
      </c>
      <c r="G57" s="51"/>
      <c r="H57" s="27">
        <f>J22-(H56+I56)</f>
        <v>0</v>
      </c>
      <c r="I57" s="17"/>
      <c r="J57" s="17">
        <f>J56+G56</f>
        <v>2347</v>
      </c>
      <c r="K57" s="52">
        <f>M22-(K56+L56)</f>
        <v>0</v>
      </c>
      <c r="L57" s="17"/>
      <c r="M57" s="17">
        <f>M56+G56</f>
        <v>1456</v>
      </c>
      <c r="N57" s="52">
        <f>N56+G56</f>
        <v>1139</v>
      </c>
      <c r="O57" s="17"/>
      <c r="P57" s="17"/>
      <c r="Q57" s="17"/>
      <c r="R57" s="17"/>
      <c r="S57" s="17"/>
      <c r="T57" s="17"/>
      <c r="U57" s="17"/>
      <c r="V57" s="17"/>
      <c r="W57" s="17"/>
      <c r="X57" s="17"/>
      <c r="Y57" s="17"/>
      <c r="Z57" s="17"/>
      <c r="AA57" s="17"/>
      <c r="AB57" s="17"/>
      <c r="AC57" s="17"/>
    </row>
    <row r="58" spans="1:29">
      <c r="A58" s="17"/>
      <c r="B58" s="17"/>
      <c r="C58" s="17"/>
      <c r="D58" s="17"/>
      <c r="E58" s="36"/>
      <c r="F58" s="61"/>
      <c r="G58" s="62"/>
      <c r="H58" s="35"/>
      <c r="I58" s="36"/>
      <c r="J58" s="36"/>
      <c r="K58" s="40"/>
      <c r="L58" s="36"/>
      <c r="M58" s="36"/>
      <c r="N58" s="40"/>
      <c r="O58" s="17"/>
      <c r="P58" s="17"/>
      <c r="Q58" s="17"/>
      <c r="R58" s="17"/>
      <c r="S58" s="17"/>
      <c r="T58" s="17"/>
      <c r="U58" s="17"/>
      <c r="V58" s="17"/>
      <c r="W58" s="17"/>
      <c r="X58" s="17"/>
      <c r="Y58" s="17"/>
      <c r="Z58" s="17"/>
      <c r="AA58" s="17"/>
      <c r="AB58" s="17"/>
      <c r="AC58" s="17"/>
    </row>
    <row r="59" spans="1:29">
      <c r="A59" s="17"/>
      <c r="B59" s="17"/>
      <c r="C59" s="17"/>
      <c r="D59" s="17"/>
      <c r="E59" s="17" t="s">
        <v>808</v>
      </c>
      <c r="F59" s="50" t="s">
        <v>849</v>
      </c>
      <c r="G59" s="51">
        <f>1-(J59+M59+N59)</f>
        <v>0</v>
      </c>
      <c r="H59" s="329">
        <f>IF(基本入力!$C$46&gt;0,ROUND(H23/J23,$B$2),IF(基本入力!$C$47&gt;0,ROUNDDOWN(H23/J23,$B$3),IF(基本入力!$C$48&gt;0,ROUNDUP(H23/J23,$B$4),H23/J23)))</f>
        <v>0.19102169541579875</v>
      </c>
      <c r="I59" s="330">
        <f>IF(基本入力!$C$46&gt;0,ROUND(I23/J23,$B$2),IF(基本入力!$C$47&gt;0,ROUNDDOWN(I23/J23,$B$3),IF(基本入力!$C$48&gt;0,ROUNDUP(I23/J23,$B$4),I23/J23)))</f>
        <v>0.80897830458420128</v>
      </c>
      <c r="J59" s="60">
        <f>IF(基本入力!$C$46&gt;0,ROUND(J23/$G23,$B$2),IF(基本入力!$C$47&gt;0,ROUNDDOWN(J23/$G23,$B$3),IF(基本入力!$C$48&gt;0,ROUNDUP(J23/$G23,$B$4),J23/$G23)))</f>
        <v>0.47488738652644097</v>
      </c>
      <c r="K59" s="52">
        <f>IF(基本入力!$C$46&gt;0,ROUND(K23/M23,$B$2),IF(基本入力!$C$47&gt;0,ROUNDDOWN(K23/M23,$B$3),IF(基本入力!$C$48&gt;0,ROUNDUP(K23/M23,$B$4),K23/M23)))</f>
        <v>0.94446827084181917</v>
      </c>
      <c r="L59" s="17">
        <f>IF(基本入力!$C$46&gt;0,ROUND(L23/M23,$B$2),IF(基本入力!$C$47&gt;0,ROUNDDOWN(L23/M23,$B$3),IF(基本入力!$C$48&gt;0,ROUNDUP(L23/M23,$B$4),L23/M23)))</f>
        <v>5.5531729158180818E-2</v>
      </c>
      <c r="M59" s="60">
        <f>IF(基本入力!$C$46&gt;0,ROUND(M23/$G23,$B$2),IF(基本入力!$C$47&gt;0,ROUNDDOWN(M23/$G23,$B$3),IF(基本入力!$C$48&gt;0,ROUNDUP(M23/$G23,$B$4),M23/$G23)))</f>
        <v>0.29457630026066839</v>
      </c>
      <c r="N59" s="64">
        <f>IF(基本入力!$C$46&gt;0,ROUND(N23/$G23,$B$2),IF(基本入力!$C$47&gt;0,ROUNDDOWN(N23/$G23,$B$3),IF(基本入力!$C$48&gt;0,ROUNDUP(N23/$G23,$B$4),N23/$G23)))</f>
        <v>0.23053631321289056</v>
      </c>
      <c r="O59" s="17"/>
      <c r="P59" s="17"/>
      <c r="Q59" s="17"/>
      <c r="R59" s="17"/>
      <c r="S59" s="17"/>
      <c r="T59" s="17"/>
      <c r="U59" s="17"/>
      <c r="V59" s="17"/>
      <c r="W59" s="17"/>
      <c r="X59" s="17"/>
      <c r="Y59" s="17"/>
      <c r="Z59" s="17"/>
      <c r="AA59" s="17"/>
      <c r="AB59" s="17"/>
      <c r="AC59" s="17"/>
    </row>
    <row r="60" spans="1:29">
      <c r="A60" s="17"/>
      <c r="B60" s="17"/>
      <c r="C60" s="17"/>
      <c r="D60" s="17"/>
      <c r="E60" s="17"/>
      <c r="F60" s="50" t="s">
        <v>322</v>
      </c>
      <c r="G60" s="51">
        <f>G25-SUM(J60,M60,N60)</f>
        <v>0</v>
      </c>
      <c r="H60" s="27">
        <f>ROUND(J60*H59,2)</f>
        <v>54.16</v>
      </c>
      <c r="I60" s="17">
        <f>ROUND(J60*I59,2)</f>
        <v>229.36</v>
      </c>
      <c r="J60" s="17">
        <f>ROUND($G25*J59,2)</f>
        <v>283.52</v>
      </c>
      <c r="K60" s="52">
        <f>ROUND(M60*K59,2)</f>
        <v>166.1</v>
      </c>
      <c r="L60" s="17">
        <f>ROUND(M60*L59,2)</f>
        <v>9.77</v>
      </c>
      <c r="M60" s="17">
        <f>ROUND($G25*M59,2)</f>
        <v>175.87</v>
      </c>
      <c r="N60" s="52">
        <f>ROUND($G25*(N59+G59),2)</f>
        <v>137.63999999999999</v>
      </c>
      <c r="O60" s="17"/>
      <c r="P60" s="17"/>
      <c r="Q60" s="17"/>
      <c r="R60" s="17"/>
      <c r="S60" s="17"/>
      <c r="T60" s="17"/>
      <c r="U60" s="17"/>
      <c r="V60" s="17"/>
      <c r="W60" s="17"/>
      <c r="X60" s="17"/>
      <c r="Y60" s="17"/>
      <c r="Z60" s="17"/>
      <c r="AA60" s="17"/>
      <c r="AB60" s="17"/>
      <c r="AC60" s="17"/>
    </row>
    <row r="61" spans="1:29">
      <c r="A61" s="17"/>
      <c r="B61" s="17"/>
      <c r="C61" s="17"/>
      <c r="D61" s="17"/>
      <c r="E61" s="17"/>
      <c r="F61" s="50" t="s">
        <v>323</v>
      </c>
      <c r="G61" s="51"/>
      <c r="H61" s="27">
        <f>J62-(H60+I60)</f>
        <v>0</v>
      </c>
      <c r="I61" s="17"/>
      <c r="J61" s="17"/>
      <c r="K61" s="52">
        <f>M62-(K60+L60)</f>
        <v>0</v>
      </c>
      <c r="L61" s="17"/>
      <c r="M61" s="17"/>
      <c r="N61" s="52"/>
      <c r="O61" s="17"/>
      <c r="P61" s="17"/>
      <c r="Q61" s="17"/>
      <c r="R61" s="17"/>
      <c r="S61" s="17"/>
      <c r="T61" s="17"/>
      <c r="U61" s="17"/>
      <c r="V61" s="17"/>
      <c r="W61" s="17"/>
      <c r="X61" s="17"/>
      <c r="Y61" s="17"/>
      <c r="Z61" s="17"/>
      <c r="AA61" s="17"/>
      <c r="AB61" s="17"/>
      <c r="AC61" s="17"/>
    </row>
    <row r="62" spans="1:29">
      <c r="A62" s="17"/>
      <c r="B62" s="17"/>
      <c r="C62" s="17"/>
      <c r="D62" s="17"/>
      <c r="E62" s="17"/>
      <c r="F62" s="50" t="s">
        <v>326</v>
      </c>
      <c r="G62" s="51"/>
      <c r="H62" s="27">
        <f>H60+H61</f>
        <v>54.16</v>
      </c>
      <c r="I62" s="17">
        <f>I60</f>
        <v>229.36</v>
      </c>
      <c r="J62" s="17">
        <f>CHOOSE((基本入力!C50)+1,J60,G60+J60,J60)</f>
        <v>283.52</v>
      </c>
      <c r="K62" s="52">
        <f>K60+K61</f>
        <v>166.1</v>
      </c>
      <c r="L62" s="17">
        <f>L60</f>
        <v>9.77</v>
      </c>
      <c r="M62" s="17">
        <f>CHOOSE((基本入力!C50)+1,M60,M60,G60+M60)</f>
        <v>175.87</v>
      </c>
      <c r="N62" s="52">
        <f>CHOOSE((基本入力!C50)+1,N60+G60,N60,N60)</f>
        <v>137.63999999999999</v>
      </c>
      <c r="O62" s="17"/>
      <c r="P62" s="17"/>
      <c r="Q62" s="17"/>
      <c r="R62" s="17"/>
      <c r="S62" s="17"/>
      <c r="T62" s="17"/>
      <c r="U62" s="17"/>
      <c r="V62" s="17"/>
      <c r="W62" s="17"/>
      <c r="X62" s="17"/>
      <c r="Y62" s="17"/>
      <c r="Z62" s="17"/>
      <c r="AA62" s="17"/>
      <c r="AB62" s="17"/>
      <c r="AC62" s="17"/>
    </row>
    <row r="63" spans="1:29">
      <c r="A63" s="17"/>
      <c r="B63" s="17"/>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row>
    <row r="64" spans="1:29">
      <c r="A64" s="17"/>
      <c r="B64" s="17"/>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row>
    <row r="65" spans="1:29">
      <c r="A65" s="17"/>
      <c r="B65" s="17"/>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row>
    <row r="66" spans="1:29">
      <c r="A66" s="17"/>
      <c r="B66" s="17"/>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row>
  </sheetData>
  <mergeCells count="3">
    <mergeCell ref="H6:J6"/>
    <mergeCell ref="E7:F7"/>
    <mergeCell ref="K6:M6"/>
  </mergeCells>
  <phoneticPr fontId="2"/>
  <pageMargins left="0.61" right="0.58958333333333335" top="0.78541666666666665" bottom="0.78541666666666665" header="0.51200000000000001" footer="0.51200000000000001"/>
  <pageSetup paperSize="9" scale="52" orientation="portrait" horizontalDpi="200" verticalDpi="200" r:id="rId1"/>
  <headerFooter alignWithMargins="0"/>
  <colBreaks count="1" manualBreakCount="1">
    <brk id="15" max="1048575" man="1"/>
  </colBreak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21">
    <tabColor indexed="13"/>
    <pageSetUpPr autoPageBreaks="0" fitToPage="1"/>
  </sheetPr>
  <dimension ref="A1:AE112"/>
  <sheetViews>
    <sheetView showGridLines="0" zoomScaleNormal="100" zoomScaleSheetLayoutView="75" workbookViewId="0">
      <pane xSplit="3" ySplit="3" topLeftCell="D4" activePane="bottomRight" state="frozen"/>
      <selection pane="topRight" activeCell="D1" sqref="D1"/>
      <selection pane="bottomLeft" activeCell="A4" sqref="A4"/>
      <selection pane="bottomRight" activeCell="B1" sqref="B1"/>
    </sheetView>
  </sheetViews>
  <sheetFormatPr defaultColWidth="10.75" defaultRowHeight="14"/>
  <cols>
    <col min="1" max="1" width="2.6640625" style="66" hidden="1" customWidth="1"/>
    <col min="2" max="2" width="16.08203125" style="66" customWidth="1"/>
    <col min="3" max="7" width="10.75" style="66" customWidth="1"/>
    <col min="8" max="8" width="10.83203125" style="66" customWidth="1"/>
    <col min="9" max="16384" width="10.75" style="66"/>
  </cols>
  <sheetData>
    <row r="1" spans="1:28" ht="14.15" customHeight="1">
      <c r="A1" s="65"/>
      <c r="B1" s="65"/>
      <c r="C1" s="65"/>
      <c r="D1" s="65"/>
      <c r="E1" s="65"/>
      <c r="F1" s="65"/>
      <c r="G1" s="65"/>
      <c r="H1" s="65"/>
      <c r="I1" s="65"/>
      <c r="J1" s="65"/>
      <c r="K1" s="65"/>
      <c r="L1" s="65"/>
      <c r="M1" s="65"/>
      <c r="N1" s="65"/>
      <c r="O1" s="65"/>
      <c r="P1" s="65"/>
      <c r="Q1" s="65"/>
      <c r="R1" s="65"/>
      <c r="S1" s="65"/>
      <c r="T1" s="65"/>
    </row>
    <row r="2" spans="1:28" ht="20.149999999999999" customHeight="1" thickBot="1">
      <c r="A2" s="65"/>
      <c r="B2" s="65"/>
      <c r="C2" s="67" t="s">
        <v>756</v>
      </c>
      <c r="D2" s="65"/>
      <c r="E2" s="65"/>
      <c r="F2" s="65"/>
      <c r="G2" s="65"/>
      <c r="H2" s="65"/>
      <c r="I2" s="65"/>
      <c r="J2" s="65"/>
      <c r="K2" s="65"/>
      <c r="L2" s="65"/>
      <c r="M2" s="65"/>
      <c r="N2" s="65"/>
      <c r="O2" s="65"/>
      <c r="P2" s="65"/>
      <c r="Q2" s="65"/>
      <c r="R2" s="65"/>
      <c r="S2" s="65"/>
      <c r="T2" s="65"/>
    </row>
    <row r="3" spans="1:28" ht="57" thickTop="1" thickBot="1">
      <c r="A3" s="65"/>
      <c r="B3" s="68"/>
      <c r="C3" s="69" t="s">
        <v>367</v>
      </c>
      <c r="D3" s="70" t="s">
        <v>368</v>
      </c>
      <c r="E3" s="71" t="s">
        <v>369</v>
      </c>
      <c r="F3" s="71" t="s">
        <v>24</v>
      </c>
      <c r="G3" s="71" t="s">
        <v>370</v>
      </c>
      <c r="H3" s="71" t="s">
        <v>371</v>
      </c>
      <c r="I3" s="71" t="s">
        <v>372</v>
      </c>
      <c r="J3" s="71" t="s">
        <v>373</v>
      </c>
      <c r="K3" s="71" t="s">
        <v>374</v>
      </c>
      <c r="L3" s="71" t="s">
        <v>375</v>
      </c>
      <c r="M3" s="71" t="s">
        <v>376</v>
      </c>
      <c r="N3" s="71" t="s">
        <v>377</v>
      </c>
      <c r="O3" s="1577" t="s">
        <v>452</v>
      </c>
      <c r="P3" s="1578" t="s">
        <v>737</v>
      </c>
      <c r="Q3" s="1578" t="s">
        <v>662</v>
      </c>
      <c r="R3" s="1578" t="s">
        <v>518</v>
      </c>
      <c r="S3" s="1578" t="s">
        <v>1186</v>
      </c>
      <c r="T3" s="1578" t="s">
        <v>1240</v>
      </c>
      <c r="U3" s="1579" t="s">
        <v>1239</v>
      </c>
      <c r="V3" s="1578"/>
      <c r="W3" s="1578"/>
      <c r="X3" s="1578"/>
      <c r="Y3" s="1580"/>
      <c r="Z3" s="1581" t="s">
        <v>36</v>
      </c>
      <c r="AA3" s="1582"/>
      <c r="AB3" s="1582"/>
    </row>
    <row r="4" spans="1:28" ht="14.15" customHeight="1" thickTop="1">
      <c r="A4" s="65"/>
      <c r="B4" s="73" t="s">
        <v>378</v>
      </c>
      <c r="C4" s="74"/>
      <c r="D4" s="75">
        <v>2910</v>
      </c>
      <c r="E4" s="76">
        <v>3400</v>
      </c>
      <c r="F4" s="76">
        <v>6040</v>
      </c>
      <c r="G4" s="76">
        <v>5840</v>
      </c>
      <c r="H4" s="76">
        <v>7150</v>
      </c>
      <c r="I4" s="76">
        <v>7550</v>
      </c>
      <c r="J4" s="76">
        <v>7870</v>
      </c>
      <c r="K4" s="76">
        <v>8770</v>
      </c>
      <c r="L4" s="76">
        <v>9380</v>
      </c>
      <c r="M4" s="76">
        <v>10350</v>
      </c>
      <c r="N4" s="76">
        <v>10485</v>
      </c>
      <c r="O4" s="1565">
        <v>12670</v>
      </c>
      <c r="P4" s="1565">
        <v>11520</v>
      </c>
      <c r="Q4" s="1565">
        <v>12350</v>
      </c>
      <c r="R4" s="1567">
        <v>9100</v>
      </c>
      <c r="S4" s="1568">
        <v>9060</v>
      </c>
      <c r="T4" s="1568">
        <v>10950</v>
      </c>
      <c r="U4" s="1568">
        <v>11910</v>
      </c>
      <c r="V4" s="1568"/>
      <c r="W4" s="1568"/>
      <c r="X4" s="1568"/>
      <c r="Y4" s="1583"/>
      <c r="Z4" s="1584">
        <v>0.03</v>
      </c>
      <c r="AA4" s="1585">
        <f t="shared" ref="AA4:AA9" si="0">ROUND(U4*Z4,0)</f>
        <v>357</v>
      </c>
      <c r="AB4" s="1586"/>
    </row>
    <row r="5" spans="1:28" ht="14.15" customHeight="1">
      <c r="A5" s="65"/>
      <c r="B5" s="77" t="s">
        <v>379</v>
      </c>
      <c r="C5" s="78"/>
      <c r="D5" s="79"/>
      <c r="E5" s="80">
        <v>550</v>
      </c>
      <c r="F5" s="80">
        <v>950</v>
      </c>
      <c r="G5" s="80">
        <v>960</v>
      </c>
      <c r="H5" s="80">
        <v>1020</v>
      </c>
      <c r="I5" s="80">
        <v>1250</v>
      </c>
      <c r="J5" s="80">
        <v>1300</v>
      </c>
      <c r="K5" s="80">
        <v>1450</v>
      </c>
      <c r="L5" s="80">
        <v>1550</v>
      </c>
      <c r="M5" s="80">
        <v>1680</v>
      </c>
      <c r="N5" s="80">
        <v>1700</v>
      </c>
      <c r="O5" s="1569">
        <v>4960</v>
      </c>
      <c r="P5" s="1569">
        <v>4430</v>
      </c>
      <c r="Q5" s="1569">
        <v>4230</v>
      </c>
      <c r="R5" s="1571">
        <v>3660</v>
      </c>
      <c r="S5" s="1572">
        <v>4360</v>
      </c>
      <c r="T5" s="1572">
        <v>4930</v>
      </c>
      <c r="U5" s="1572">
        <v>5030</v>
      </c>
      <c r="V5" s="1572"/>
      <c r="W5" s="1572"/>
      <c r="X5" s="1572"/>
      <c r="Y5" s="1587"/>
      <c r="Z5" s="1588">
        <v>0.1</v>
      </c>
      <c r="AA5" s="1585">
        <f t="shared" si="0"/>
        <v>503</v>
      </c>
      <c r="AB5" s="1586"/>
    </row>
    <row r="6" spans="1:28" ht="14.15" customHeight="1">
      <c r="A6" s="65"/>
      <c r="B6" s="1412" t="s">
        <v>540</v>
      </c>
      <c r="C6" s="1413"/>
      <c r="D6" s="1414"/>
      <c r="E6" s="1415"/>
      <c r="F6" s="1415"/>
      <c r="G6" s="1415"/>
      <c r="H6" s="1415"/>
      <c r="I6" s="1415"/>
      <c r="J6" s="1415"/>
      <c r="K6" s="1415"/>
      <c r="L6" s="1415"/>
      <c r="M6" s="1415"/>
      <c r="N6" s="1415"/>
      <c r="O6" s="1589"/>
      <c r="P6" s="1589"/>
      <c r="Q6" s="1589"/>
      <c r="R6" s="1571">
        <v>18520</v>
      </c>
      <c r="S6" s="1572">
        <v>19580</v>
      </c>
      <c r="T6" s="1572">
        <v>20400</v>
      </c>
      <c r="U6" s="1572">
        <v>20780</v>
      </c>
      <c r="V6" s="1572"/>
      <c r="W6" s="1572"/>
      <c r="X6" s="1572"/>
      <c r="Y6" s="1587"/>
      <c r="Z6" s="1590">
        <v>0.1</v>
      </c>
      <c r="AA6" s="1585">
        <f t="shared" si="0"/>
        <v>2078</v>
      </c>
      <c r="AB6" s="1586"/>
    </row>
    <row r="7" spans="1:28" ht="14.15" customHeight="1">
      <c r="A7" s="65"/>
      <c r="B7" s="77" t="s">
        <v>380</v>
      </c>
      <c r="C7" s="78"/>
      <c r="D7" s="79">
        <v>2080</v>
      </c>
      <c r="E7" s="80">
        <v>2080</v>
      </c>
      <c r="F7" s="80">
        <v>2780</v>
      </c>
      <c r="G7" s="80">
        <v>3680</v>
      </c>
      <c r="H7" s="80">
        <v>3920</v>
      </c>
      <c r="I7" s="80">
        <v>4160</v>
      </c>
      <c r="J7" s="80">
        <v>4310</v>
      </c>
      <c r="K7" s="80">
        <v>4800</v>
      </c>
      <c r="L7" s="80">
        <v>5130</v>
      </c>
      <c r="M7" s="80">
        <v>5960</v>
      </c>
      <c r="N7" s="80">
        <v>6040</v>
      </c>
      <c r="O7" s="1569">
        <v>10590</v>
      </c>
      <c r="P7" s="1569">
        <v>10560</v>
      </c>
      <c r="Q7" s="1569">
        <v>10980</v>
      </c>
      <c r="R7" s="1571">
        <v>10460</v>
      </c>
      <c r="S7" s="1572">
        <v>9620</v>
      </c>
      <c r="T7" s="1572">
        <v>10070</v>
      </c>
      <c r="U7" s="1572">
        <v>10660</v>
      </c>
      <c r="V7" s="1572"/>
      <c r="W7" s="1572"/>
      <c r="X7" s="1572"/>
      <c r="Y7" s="1587"/>
      <c r="Z7" s="1588">
        <v>0.1</v>
      </c>
      <c r="AA7" s="1585">
        <f t="shared" si="0"/>
        <v>1066</v>
      </c>
      <c r="AB7" s="1586"/>
    </row>
    <row r="8" spans="1:28" ht="14.15" customHeight="1">
      <c r="A8" s="65"/>
      <c r="B8" s="77" t="s">
        <v>381</v>
      </c>
      <c r="C8" s="78"/>
      <c r="D8" s="79">
        <v>2640</v>
      </c>
      <c r="E8" s="80">
        <v>3450</v>
      </c>
      <c r="F8" s="80">
        <v>4910</v>
      </c>
      <c r="G8" s="80">
        <v>4490</v>
      </c>
      <c r="H8" s="80">
        <v>5450</v>
      </c>
      <c r="I8" s="80">
        <v>5710</v>
      </c>
      <c r="J8" s="80">
        <v>5740</v>
      </c>
      <c r="K8" s="80">
        <v>6400</v>
      </c>
      <c r="L8" s="80">
        <v>6840</v>
      </c>
      <c r="M8" s="80">
        <v>5810</v>
      </c>
      <c r="N8" s="80">
        <v>5885</v>
      </c>
      <c r="O8" s="1569">
        <v>5270</v>
      </c>
      <c r="P8" s="1569">
        <v>4560</v>
      </c>
      <c r="Q8" s="1569">
        <v>4320</v>
      </c>
      <c r="R8" s="1571">
        <v>2990</v>
      </c>
      <c r="S8" s="1572">
        <v>2910</v>
      </c>
      <c r="T8" s="1572">
        <v>2790</v>
      </c>
      <c r="U8" s="1572">
        <v>3010</v>
      </c>
      <c r="V8" s="1572"/>
      <c r="W8" s="1572"/>
      <c r="X8" s="1572"/>
      <c r="Y8" s="1587"/>
      <c r="Z8" s="1588">
        <v>0.16700000000000001</v>
      </c>
      <c r="AA8" s="1585">
        <f t="shared" si="0"/>
        <v>503</v>
      </c>
      <c r="AB8" s="1586"/>
    </row>
    <row r="9" spans="1:28" ht="14.15" customHeight="1">
      <c r="A9" s="65"/>
      <c r="B9" s="77" t="s">
        <v>1077</v>
      </c>
      <c r="C9" s="78"/>
      <c r="D9" s="79">
        <v>3080</v>
      </c>
      <c r="E9" s="80">
        <v>6790</v>
      </c>
      <c r="F9" s="80">
        <v>8440</v>
      </c>
      <c r="G9" s="80">
        <v>9740</v>
      </c>
      <c r="H9" s="80">
        <v>11270</v>
      </c>
      <c r="I9" s="80">
        <v>11850</v>
      </c>
      <c r="J9" s="80">
        <v>12260</v>
      </c>
      <c r="K9" s="80">
        <v>13660</v>
      </c>
      <c r="L9" s="80">
        <v>14610</v>
      </c>
      <c r="M9" s="80">
        <v>15730</v>
      </c>
      <c r="N9" s="80">
        <v>15935</v>
      </c>
      <c r="O9" s="1569">
        <v>26170</v>
      </c>
      <c r="P9" s="1569">
        <v>30570</v>
      </c>
      <c r="Q9" s="1569">
        <v>33270</v>
      </c>
      <c r="R9" s="1571">
        <v>35440</v>
      </c>
      <c r="S9" s="1572">
        <v>36340</v>
      </c>
      <c r="T9" s="1572">
        <v>40820</v>
      </c>
      <c r="U9" s="1572">
        <v>40820</v>
      </c>
      <c r="V9" s="1572"/>
      <c r="W9" s="1572"/>
      <c r="X9" s="1572"/>
      <c r="Y9" s="1587"/>
      <c r="Z9" s="2167">
        <v>7.6999999999999999E-2</v>
      </c>
      <c r="AA9" s="1585">
        <f t="shared" si="0"/>
        <v>3143</v>
      </c>
      <c r="AB9" s="1586"/>
    </row>
    <row r="10" spans="1:28" ht="14.15" customHeight="1">
      <c r="A10" s="65"/>
      <c r="B10" s="77" t="s">
        <v>382</v>
      </c>
      <c r="C10" s="78"/>
      <c r="D10" s="79"/>
      <c r="E10" s="80"/>
      <c r="F10" s="80"/>
      <c r="G10" s="80"/>
      <c r="H10" s="80"/>
      <c r="I10" s="80"/>
      <c r="J10" s="80"/>
      <c r="K10" s="80"/>
      <c r="L10" s="80"/>
      <c r="M10" s="80">
        <v>19600</v>
      </c>
      <c r="N10" s="80">
        <v>19855</v>
      </c>
      <c r="O10" s="1569">
        <v>32810</v>
      </c>
      <c r="P10" s="1569">
        <v>32380</v>
      </c>
      <c r="Q10" s="1569">
        <v>32080</v>
      </c>
      <c r="R10" s="1571">
        <v>32280</v>
      </c>
      <c r="S10" s="1572">
        <v>32250</v>
      </c>
      <c r="T10" s="1572">
        <v>35620</v>
      </c>
      <c r="U10" s="1572">
        <v>35620</v>
      </c>
      <c r="V10" s="1572"/>
      <c r="W10" s="1572"/>
      <c r="X10" s="1572"/>
      <c r="Y10" s="1587"/>
      <c r="Z10" s="2168"/>
      <c r="AA10" s="1585">
        <f>ROUND(U10*Z9,0)</f>
        <v>2743</v>
      </c>
      <c r="AB10" s="1586"/>
    </row>
    <row r="11" spans="1:28" ht="14.15" customHeight="1">
      <c r="A11" s="65"/>
      <c r="B11" s="77" t="s">
        <v>1078</v>
      </c>
      <c r="C11" s="78"/>
      <c r="D11" s="79">
        <v>14080</v>
      </c>
      <c r="E11" s="80">
        <v>22390</v>
      </c>
      <c r="F11" s="80">
        <v>27730</v>
      </c>
      <c r="G11" s="80">
        <v>32540</v>
      </c>
      <c r="H11" s="80">
        <v>37610</v>
      </c>
      <c r="I11" s="80">
        <v>38690</v>
      </c>
      <c r="J11" s="80">
        <v>40150</v>
      </c>
      <c r="K11" s="80">
        <v>44730</v>
      </c>
      <c r="L11" s="80">
        <v>47820</v>
      </c>
      <c r="M11" s="80">
        <v>53160</v>
      </c>
      <c r="N11" s="80">
        <v>53850</v>
      </c>
      <c r="O11" s="1569">
        <v>88660</v>
      </c>
      <c r="P11" s="1569">
        <v>98230</v>
      </c>
      <c r="Q11" s="1569">
        <v>108160</v>
      </c>
      <c r="R11" s="1571">
        <v>114430</v>
      </c>
      <c r="S11" s="1572">
        <v>116810</v>
      </c>
      <c r="T11" s="1572">
        <v>132770</v>
      </c>
      <c r="U11" s="1572">
        <v>132770</v>
      </c>
      <c r="V11" s="1572"/>
      <c r="W11" s="1572"/>
      <c r="X11" s="1572"/>
      <c r="Y11" s="1587"/>
      <c r="Z11" s="2168"/>
      <c r="AA11" s="1585">
        <f>ROUND(U11*Z9,0)</f>
        <v>10223</v>
      </c>
      <c r="AB11" s="1586"/>
    </row>
    <row r="12" spans="1:28" ht="14.15" customHeight="1">
      <c r="A12" s="65"/>
      <c r="B12" s="77" t="s">
        <v>383</v>
      </c>
      <c r="C12" s="78"/>
      <c r="D12" s="79"/>
      <c r="E12" s="80"/>
      <c r="F12" s="80"/>
      <c r="G12" s="80"/>
      <c r="H12" s="80"/>
      <c r="I12" s="80"/>
      <c r="J12" s="80"/>
      <c r="K12" s="80"/>
      <c r="L12" s="80"/>
      <c r="M12" s="80">
        <v>62120</v>
      </c>
      <c r="N12" s="80">
        <v>62930</v>
      </c>
      <c r="O12" s="1569">
        <v>108630</v>
      </c>
      <c r="P12" s="1569">
        <v>105990</v>
      </c>
      <c r="Q12" s="1569">
        <v>103690</v>
      </c>
      <c r="R12" s="1571">
        <v>104610</v>
      </c>
      <c r="S12" s="1572">
        <v>103950</v>
      </c>
      <c r="T12" s="1572">
        <v>117540</v>
      </c>
      <c r="U12" s="1572">
        <v>123680</v>
      </c>
      <c r="V12" s="1572"/>
      <c r="W12" s="1572"/>
      <c r="X12" s="1572"/>
      <c r="Y12" s="1587"/>
      <c r="Z12" s="2169"/>
      <c r="AA12" s="1585">
        <f>ROUND(U12*Z9,0)</f>
        <v>9523</v>
      </c>
      <c r="AB12" s="1586"/>
    </row>
    <row r="13" spans="1:28" ht="14.15" customHeight="1">
      <c r="A13" s="65"/>
      <c r="B13" s="77" t="s">
        <v>384</v>
      </c>
      <c r="C13" s="78"/>
      <c r="D13" s="79">
        <v>2530</v>
      </c>
      <c r="E13" s="80">
        <v>2970</v>
      </c>
      <c r="F13" s="80">
        <v>4570</v>
      </c>
      <c r="G13" s="80">
        <v>4790</v>
      </c>
      <c r="H13" s="80">
        <v>5090</v>
      </c>
      <c r="I13" s="80">
        <v>5120</v>
      </c>
      <c r="J13" s="80">
        <v>5390</v>
      </c>
      <c r="K13" s="80">
        <v>6010</v>
      </c>
      <c r="L13" s="80">
        <v>6430</v>
      </c>
      <c r="M13" s="80">
        <v>5500</v>
      </c>
      <c r="N13" s="80">
        <v>5570</v>
      </c>
      <c r="O13" s="1569">
        <v>14290</v>
      </c>
      <c r="P13" s="1569">
        <v>13940</v>
      </c>
      <c r="Q13" s="1569">
        <v>13020</v>
      </c>
      <c r="R13" s="1571">
        <v>11010</v>
      </c>
      <c r="S13" s="1572">
        <v>9950</v>
      </c>
      <c r="T13" s="1572">
        <v>9650</v>
      </c>
      <c r="U13" s="1572">
        <v>9720</v>
      </c>
      <c r="V13" s="1572"/>
      <c r="W13" s="1572"/>
      <c r="X13" s="1572"/>
      <c r="Y13" s="1587"/>
      <c r="Z13" s="1588">
        <v>7.6999999999999999E-2</v>
      </c>
      <c r="AA13" s="1585">
        <f>ROUND(U13*Z13,0)</f>
        <v>748</v>
      </c>
      <c r="AB13" s="1586"/>
    </row>
    <row r="14" spans="1:28" ht="14.15" customHeight="1">
      <c r="A14" s="65"/>
      <c r="B14" s="994" t="s">
        <v>385</v>
      </c>
      <c r="C14" s="997"/>
      <c r="D14" s="995">
        <v>160</v>
      </c>
      <c r="E14" s="996">
        <v>160</v>
      </c>
      <c r="F14" s="996">
        <v>190</v>
      </c>
      <c r="G14" s="996">
        <v>270</v>
      </c>
      <c r="H14" s="996">
        <v>280</v>
      </c>
      <c r="I14" s="996">
        <v>300</v>
      </c>
      <c r="J14" s="996">
        <v>310</v>
      </c>
      <c r="K14" s="996">
        <v>350</v>
      </c>
      <c r="L14" s="996">
        <v>380</v>
      </c>
      <c r="M14" s="996">
        <v>300</v>
      </c>
      <c r="N14" s="996">
        <v>305</v>
      </c>
      <c r="O14" s="1591">
        <v>390</v>
      </c>
      <c r="P14" s="1591">
        <v>810</v>
      </c>
      <c r="Q14" s="1591">
        <v>390</v>
      </c>
      <c r="R14" s="1592">
        <v>380</v>
      </c>
      <c r="S14" s="1593">
        <v>320</v>
      </c>
      <c r="T14" s="1593">
        <v>340</v>
      </c>
      <c r="U14" s="1593">
        <v>380</v>
      </c>
      <c r="V14" s="1593"/>
      <c r="W14" s="1593"/>
      <c r="X14" s="1593"/>
      <c r="Y14" s="1594"/>
      <c r="Z14" s="1595">
        <v>0.2</v>
      </c>
      <c r="AA14" s="1585">
        <f>ROUND(U14*Z14,0)</f>
        <v>76</v>
      </c>
      <c r="AB14" s="1586"/>
    </row>
    <row r="15" spans="1:28">
      <c r="A15" s="65"/>
      <c r="B15" s="81" t="s">
        <v>867</v>
      </c>
      <c r="C15" s="1370" t="s">
        <v>1075</v>
      </c>
      <c r="D15" s="1371">
        <v>8.8900000000000007E-2</v>
      </c>
      <c r="E15" s="1372">
        <v>8.8200000000000001E-2</v>
      </c>
      <c r="F15" s="1372">
        <v>8.5900000000000004E-2</v>
      </c>
      <c r="G15" s="1372">
        <v>8.5400000000000004E-2</v>
      </c>
      <c r="H15" s="1372">
        <v>8.5199999999999998E-2</v>
      </c>
      <c r="I15" s="1372">
        <v>8.5300000000000001E-2</v>
      </c>
      <c r="J15" s="1372">
        <v>8.48E-2</v>
      </c>
      <c r="K15" s="1372">
        <v>8.48E-2</v>
      </c>
      <c r="L15" s="1372">
        <v>8.48E-2</v>
      </c>
      <c r="M15" s="1562">
        <v>8.1900000000000001E-2</v>
      </c>
      <c r="N15" s="1372">
        <v>8.1900000000000001E-2</v>
      </c>
      <c r="O15" s="1596">
        <v>8.0199999999999994E-2</v>
      </c>
      <c r="P15" s="1596">
        <v>8.0500000000000002E-2</v>
      </c>
      <c r="Q15" s="1597">
        <v>7.9600000000000004E-2</v>
      </c>
      <c r="R15" s="1598">
        <v>7.9899999999999999E-2</v>
      </c>
      <c r="S15" s="1599">
        <v>7.9699999999999993E-2</v>
      </c>
      <c r="T15" s="1600">
        <v>7.85E-2</v>
      </c>
      <c r="U15" s="1601">
        <v>7.8399999999999997E-2</v>
      </c>
      <c r="V15" s="1600"/>
      <c r="W15" s="1600"/>
      <c r="X15" s="1600"/>
      <c r="Y15" s="1602"/>
      <c r="Z15" s="1603">
        <f>ROUND(AA15/AB15,4)</f>
        <v>8.48E-2</v>
      </c>
      <c r="AA15" s="1604">
        <f>SUM(AA4:AA8,AA9,AA13:AA14)</f>
        <v>8474</v>
      </c>
      <c r="AB15" s="1604">
        <f>SUM(T4:T8,T9,T13:T14)</f>
        <v>99950</v>
      </c>
    </row>
    <row r="16" spans="1:28" ht="14.15" customHeight="1">
      <c r="A16" s="65"/>
      <c r="B16" s="81" t="s">
        <v>386</v>
      </c>
      <c r="C16" s="1373" t="s">
        <v>387</v>
      </c>
      <c r="D16" s="1374"/>
      <c r="E16" s="1375"/>
      <c r="F16" s="1375"/>
      <c r="G16" s="1375"/>
      <c r="H16" s="1375"/>
      <c r="I16" s="1375"/>
      <c r="J16" s="1375"/>
      <c r="K16" s="1375"/>
      <c r="L16" s="1375"/>
      <c r="M16" s="1563">
        <v>8.14E-2</v>
      </c>
      <c r="N16" s="1375">
        <v>8.14E-2</v>
      </c>
      <c r="O16" s="1605">
        <v>7.9899999999999999E-2</v>
      </c>
      <c r="P16" s="1606">
        <v>8.0399999999999999E-2</v>
      </c>
      <c r="Q16" s="1606">
        <v>7.9699999999999993E-2</v>
      </c>
      <c r="R16" s="1607">
        <v>0.08</v>
      </c>
      <c r="S16" s="1608">
        <v>7.9799999999999996E-2</v>
      </c>
      <c r="T16" s="1609">
        <v>7.8600000000000003E-2</v>
      </c>
      <c r="U16" s="1610">
        <v>7.85E-2</v>
      </c>
      <c r="V16" s="1609"/>
      <c r="W16" s="1609"/>
      <c r="X16" s="1609"/>
      <c r="Y16" s="1611"/>
      <c r="Z16" s="1612">
        <f>ROUND(AA16/AB16,4)</f>
        <v>8.5199999999999998E-2</v>
      </c>
      <c r="AA16" s="1604">
        <f>SUM(AA4:AA8,AA10,AA13:AA14)</f>
        <v>8074</v>
      </c>
      <c r="AB16" s="1613">
        <f>SUM(T4:T8,T10,T13:T14)</f>
        <v>94750</v>
      </c>
    </row>
    <row r="17" spans="1:31" ht="14.15" customHeight="1">
      <c r="A17" s="65"/>
      <c r="B17" s="81" t="s">
        <v>388</v>
      </c>
      <c r="C17" s="1373" t="s">
        <v>1076</v>
      </c>
      <c r="D17" s="1374">
        <v>8.3099999999999993E-2</v>
      </c>
      <c r="E17" s="1375">
        <v>8.2799999999999999E-2</v>
      </c>
      <c r="F17" s="1375">
        <v>8.1900000000000001E-2</v>
      </c>
      <c r="G17" s="1375">
        <v>8.1299999999999997E-2</v>
      </c>
      <c r="H17" s="1375">
        <v>8.1199999999999994E-2</v>
      </c>
      <c r="I17" s="1375">
        <v>8.1299999999999997E-2</v>
      </c>
      <c r="J17" s="1375">
        <v>8.1000000000000003E-2</v>
      </c>
      <c r="K17" s="1375">
        <v>8.1000000000000003E-2</v>
      </c>
      <c r="L17" s="1375">
        <v>8.1100000000000005E-2</v>
      </c>
      <c r="M17" s="1563">
        <v>7.9200000000000007E-2</v>
      </c>
      <c r="N17" s="1375">
        <v>7.9200000000000007E-2</v>
      </c>
      <c r="O17" s="1605">
        <v>7.8299999999999995E-2</v>
      </c>
      <c r="P17" s="1606">
        <v>7.8399999999999997E-2</v>
      </c>
      <c r="Q17" s="1606">
        <v>7.8299999999999995E-2</v>
      </c>
      <c r="R17" s="1607">
        <v>7.8399999999999997E-2</v>
      </c>
      <c r="S17" s="1608">
        <v>7.8299999999999995E-2</v>
      </c>
      <c r="T17" s="1609">
        <v>7.7700000000000005E-2</v>
      </c>
      <c r="U17" s="1610">
        <v>7.7600000000000002E-2</v>
      </c>
      <c r="V17" s="1609"/>
      <c r="W17" s="1609"/>
      <c r="X17" s="1609"/>
      <c r="Y17" s="1611"/>
      <c r="Z17" s="1612">
        <f>ROUND(AA17/AB17,4)</f>
        <v>8.1100000000000005E-2</v>
      </c>
      <c r="AA17" s="1604">
        <f>SUM(AA4:AA8,AA11,AA13:AA14)</f>
        <v>15554</v>
      </c>
      <c r="AB17" s="1613">
        <f>SUM(T4:T8,T11,T13:T14)</f>
        <v>191900</v>
      </c>
    </row>
    <row r="18" spans="1:31" ht="14.15" customHeight="1" thickBot="1">
      <c r="A18" s="65"/>
      <c r="B18" s="991"/>
      <c r="C18" s="1376" t="s">
        <v>387</v>
      </c>
      <c r="D18" s="1377"/>
      <c r="E18" s="1378"/>
      <c r="F18" s="1378"/>
      <c r="G18" s="1378"/>
      <c r="H18" s="1378"/>
      <c r="I18" s="1378"/>
      <c r="J18" s="1378"/>
      <c r="K18" s="1378"/>
      <c r="L18" s="1378"/>
      <c r="M18" s="1564">
        <v>7.8899999999999998E-2</v>
      </c>
      <c r="N18" s="1378">
        <v>7.8899999999999998E-2</v>
      </c>
      <c r="O18" s="1614">
        <v>7.8E-2</v>
      </c>
      <c r="P18" s="1615">
        <v>7.8200000000000006E-2</v>
      </c>
      <c r="Q18" s="1615">
        <v>7.8399999999999997E-2</v>
      </c>
      <c r="R18" s="1616">
        <v>7.85E-2</v>
      </c>
      <c r="S18" s="1617">
        <v>7.8399999999999997E-2</v>
      </c>
      <c r="T18" s="1618">
        <v>7.7700000000000005E-2</v>
      </c>
      <c r="U18" s="1619">
        <v>7.7700000000000005E-2</v>
      </c>
      <c r="V18" s="1618"/>
      <c r="W18" s="1618"/>
      <c r="X18" s="1618"/>
      <c r="Y18" s="1620"/>
      <c r="Z18" s="1621">
        <f>ROUND(AA18/AB18,4)</f>
        <v>0.25119999999999998</v>
      </c>
      <c r="AA18" s="1622">
        <f>SUM(AA4:AA8,AA12:AA14)</f>
        <v>14854</v>
      </c>
      <c r="AB18" s="1613">
        <f>SUM(T4:T8,T13:T15)</f>
        <v>59130.078500000003</v>
      </c>
    </row>
    <row r="19" spans="1:31" ht="14.15" customHeight="1" thickTop="1">
      <c r="A19" s="65"/>
      <c r="B19" s="73" t="s">
        <v>379</v>
      </c>
      <c r="C19" s="2138" t="s">
        <v>8</v>
      </c>
      <c r="D19" s="75"/>
      <c r="E19" s="76"/>
      <c r="F19" s="76"/>
      <c r="G19" s="76"/>
      <c r="H19" s="76"/>
      <c r="I19" s="76"/>
      <c r="J19" s="76"/>
      <c r="K19" s="76"/>
      <c r="L19" s="76"/>
      <c r="M19" s="76"/>
      <c r="N19" s="76"/>
      <c r="O19" s="1565"/>
      <c r="P19" s="1565"/>
      <c r="Q19" s="1623">
        <v>32410</v>
      </c>
      <c r="R19" s="1623">
        <v>17390</v>
      </c>
      <c r="S19" s="1568">
        <v>17170</v>
      </c>
      <c r="T19" s="1568">
        <v>19670</v>
      </c>
      <c r="U19" s="1568">
        <v>20590</v>
      </c>
      <c r="V19" s="1568"/>
      <c r="W19" s="1568"/>
      <c r="X19" s="1568"/>
      <c r="Y19" s="1583"/>
      <c r="Z19" s="1584">
        <v>0.1</v>
      </c>
      <c r="AA19" s="1585">
        <f>ROUND(U19*Z19,0)</f>
        <v>2059</v>
      </c>
      <c r="AB19" s="1586"/>
    </row>
    <row r="20" spans="1:31" ht="14.15" customHeight="1">
      <c r="A20" s="65"/>
      <c r="B20" s="77" t="s">
        <v>380</v>
      </c>
      <c r="C20" s="2139"/>
      <c r="D20" s="79"/>
      <c r="E20" s="80"/>
      <c r="F20" s="80"/>
      <c r="G20" s="80"/>
      <c r="H20" s="80"/>
      <c r="I20" s="80"/>
      <c r="J20" s="80"/>
      <c r="K20" s="80"/>
      <c r="L20" s="80"/>
      <c r="M20" s="80"/>
      <c r="N20" s="80"/>
      <c r="O20" s="1569"/>
      <c r="P20" s="1569"/>
      <c r="Q20" s="1589">
        <v>12350</v>
      </c>
      <c r="R20" s="1589">
        <v>13610</v>
      </c>
      <c r="S20" s="1572">
        <v>11740</v>
      </c>
      <c r="T20" s="1572">
        <v>11500</v>
      </c>
      <c r="U20" s="1572">
        <v>12180</v>
      </c>
      <c r="V20" s="1572"/>
      <c r="W20" s="1572"/>
      <c r="X20" s="1572"/>
      <c r="Y20" s="1587"/>
      <c r="Z20" s="1588">
        <v>0.1</v>
      </c>
      <c r="AA20" s="1585">
        <f>ROUND(U20*Z20,0)</f>
        <v>1218</v>
      </c>
      <c r="AB20" s="1586"/>
    </row>
    <row r="21" spans="1:31" ht="14.15" customHeight="1">
      <c r="A21" s="65"/>
      <c r="B21" s="998" t="s">
        <v>381</v>
      </c>
      <c r="C21" s="2140"/>
      <c r="D21" s="995"/>
      <c r="E21" s="996"/>
      <c r="F21" s="996"/>
      <c r="G21" s="996"/>
      <c r="H21" s="996"/>
      <c r="I21" s="996"/>
      <c r="J21" s="996"/>
      <c r="K21" s="996"/>
      <c r="L21" s="996"/>
      <c r="M21" s="996"/>
      <c r="N21" s="996"/>
      <c r="O21" s="1591"/>
      <c r="P21" s="1591"/>
      <c r="Q21" s="1624">
        <v>8400</v>
      </c>
      <c r="R21" s="1624">
        <v>9670</v>
      </c>
      <c r="S21" s="1593">
        <v>8950</v>
      </c>
      <c r="T21" s="1593">
        <v>8900</v>
      </c>
      <c r="U21" s="1593">
        <v>9000</v>
      </c>
      <c r="V21" s="1593"/>
      <c r="W21" s="1593"/>
      <c r="X21" s="1593"/>
      <c r="Y21" s="1594"/>
      <c r="Z21" s="1595">
        <v>0.16700000000000001</v>
      </c>
      <c r="AA21" s="1585">
        <f>ROUND(U21*Z21,0)</f>
        <v>1503</v>
      </c>
      <c r="AB21" s="1586"/>
    </row>
    <row r="22" spans="1:31" ht="13.5" customHeight="1">
      <c r="A22" s="65"/>
      <c r="B22" s="81" t="s">
        <v>867</v>
      </c>
      <c r="C22" s="992" t="s">
        <v>1075</v>
      </c>
      <c r="D22" s="993"/>
      <c r="E22" s="993"/>
      <c r="F22" s="993"/>
      <c r="G22" s="993"/>
      <c r="H22" s="993"/>
      <c r="I22" s="993"/>
      <c r="J22" s="993"/>
      <c r="K22" s="993"/>
      <c r="L22" s="993"/>
      <c r="M22" s="993"/>
      <c r="N22" s="993"/>
      <c r="O22" s="1625"/>
      <c r="P22" s="1625"/>
      <c r="Q22" s="1626">
        <v>9.5399999999999999E-2</v>
      </c>
      <c r="R22" s="1626">
        <v>9.64E-2</v>
      </c>
      <c r="S22" s="1627">
        <v>9.5799999999999996E-2</v>
      </c>
      <c r="T22" s="1628">
        <v>9.5200000000000007E-2</v>
      </c>
      <c r="U22" s="1629">
        <v>9.5399999999999999E-2</v>
      </c>
      <c r="V22" s="1628"/>
      <c r="W22" s="1628"/>
      <c r="X22" s="1628"/>
      <c r="Y22" s="1630"/>
      <c r="Z22" s="1631">
        <v>9.5200000000000007E-2</v>
      </c>
      <c r="AA22" s="1604"/>
      <c r="AB22" s="1604"/>
      <c r="AC22" s="725"/>
      <c r="AD22" s="725"/>
      <c r="AE22" s="725"/>
    </row>
    <row r="23" spans="1:31" ht="13.5" customHeight="1">
      <c r="A23" s="65"/>
      <c r="B23" s="81" t="s">
        <v>386</v>
      </c>
      <c r="C23" s="176" t="s">
        <v>387</v>
      </c>
      <c r="D23" s="177"/>
      <c r="E23" s="177"/>
      <c r="F23" s="177"/>
      <c r="G23" s="177"/>
      <c r="H23" s="177"/>
      <c r="I23" s="177"/>
      <c r="J23" s="177"/>
      <c r="K23" s="177"/>
      <c r="L23" s="177"/>
      <c r="M23" s="177"/>
      <c r="N23" s="177"/>
      <c r="O23" s="1632"/>
      <c r="P23" s="1632"/>
      <c r="Q23" s="1633">
        <v>9.5600000000000004E-2</v>
      </c>
      <c r="R23" s="1633">
        <v>9.7000000000000003E-2</v>
      </c>
      <c r="S23" s="1634">
        <v>9.6600000000000005E-2</v>
      </c>
      <c r="T23" s="1635">
        <v>9.6100000000000005E-2</v>
      </c>
      <c r="U23" s="1636">
        <v>9.6199999999999994E-2</v>
      </c>
      <c r="V23" s="1635"/>
      <c r="W23" s="1635"/>
      <c r="X23" s="1635"/>
      <c r="Y23" s="1637"/>
      <c r="Z23" s="1612">
        <v>9.6100000000000005E-2</v>
      </c>
      <c r="AA23" s="1604"/>
      <c r="AB23" s="1613"/>
      <c r="AC23" s="725"/>
      <c r="AD23" s="725"/>
      <c r="AE23" s="725"/>
    </row>
    <row r="24" spans="1:31" ht="13.5" customHeight="1">
      <c r="A24" s="65"/>
      <c r="B24" s="81" t="s">
        <v>19</v>
      </c>
      <c r="C24" s="176" t="s">
        <v>1076</v>
      </c>
      <c r="D24" s="177"/>
      <c r="E24" s="177"/>
      <c r="F24" s="177"/>
      <c r="G24" s="177"/>
      <c r="H24" s="177"/>
      <c r="I24" s="177"/>
      <c r="J24" s="177"/>
      <c r="K24" s="177"/>
      <c r="L24" s="177"/>
      <c r="M24" s="177"/>
      <c r="N24" s="177"/>
      <c r="O24" s="1632"/>
      <c r="P24" s="1632"/>
      <c r="Q24" s="1633">
        <v>8.7499999999999994E-2</v>
      </c>
      <c r="R24" s="1633">
        <v>8.8099999999999998E-2</v>
      </c>
      <c r="S24" s="1634">
        <v>8.7599999999999997E-2</v>
      </c>
      <c r="T24" s="1635">
        <v>8.6900000000000005E-2</v>
      </c>
      <c r="U24" s="1636">
        <v>8.7099999999999997E-2</v>
      </c>
      <c r="V24" s="1635"/>
      <c r="W24" s="1635"/>
      <c r="X24" s="1635"/>
      <c r="Y24" s="1637"/>
      <c r="Z24" s="1612">
        <v>8.6900000000000005E-2</v>
      </c>
      <c r="AA24" s="1604"/>
      <c r="AB24" s="1613"/>
    </row>
    <row r="25" spans="1:31" ht="13.5" customHeight="1" thickBot="1">
      <c r="A25" s="65"/>
      <c r="B25" s="1018" t="s">
        <v>20</v>
      </c>
      <c r="C25" s="175" t="s">
        <v>387</v>
      </c>
      <c r="D25" s="178"/>
      <c r="E25" s="178"/>
      <c r="F25" s="178"/>
      <c r="G25" s="178"/>
      <c r="H25" s="178"/>
      <c r="I25" s="178"/>
      <c r="J25" s="178"/>
      <c r="K25" s="178"/>
      <c r="L25" s="178"/>
      <c r="M25" s="178"/>
      <c r="N25" s="178"/>
      <c r="O25" s="1638"/>
      <c r="P25" s="1638"/>
      <c r="Q25" s="1639">
        <v>8.7800000000000003E-2</v>
      </c>
      <c r="R25" s="1639">
        <v>8.8700000000000001E-2</v>
      </c>
      <c r="S25" s="1640">
        <v>8.8400000000000006E-2</v>
      </c>
      <c r="T25" s="1641">
        <v>8.77E-2</v>
      </c>
      <c r="U25" s="1642">
        <v>8.7599999999999997E-2</v>
      </c>
      <c r="V25" s="1641"/>
      <c r="W25" s="1641"/>
      <c r="X25" s="1641"/>
      <c r="Y25" s="1643"/>
      <c r="Z25" s="1621">
        <v>8.77E-2</v>
      </c>
      <c r="AA25" s="1622"/>
      <c r="AB25" s="1613"/>
    </row>
    <row r="26" spans="1:31" ht="14.15" customHeight="1" thickTop="1">
      <c r="A26" s="65"/>
      <c r="B26" s="161"/>
      <c r="C26" s="161"/>
      <c r="D26" s="161"/>
      <c r="E26" s="161"/>
      <c r="F26" s="161"/>
      <c r="G26" s="161"/>
      <c r="H26" s="161"/>
      <c r="I26" s="161"/>
      <c r="J26" s="161"/>
      <c r="K26" s="161"/>
      <c r="L26" s="161"/>
      <c r="M26" s="161"/>
      <c r="N26" s="161"/>
      <c r="O26" s="161"/>
      <c r="P26" s="161"/>
      <c r="Q26" s="161"/>
      <c r="R26" s="161"/>
      <c r="S26" s="161"/>
      <c r="T26" s="65"/>
    </row>
    <row r="27" spans="1:31" ht="17.149999999999999" customHeight="1" thickBot="1">
      <c r="A27" s="65"/>
      <c r="B27" s="65"/>
      <c r="C27" s="83" t="s">
        <v>1009</v>
      </c>
      <c r="D27" s="65"/>
      <c r="E27" s="65"/>
      <c r="F27" s="65"/>
      <c r="G27" s="65"/>
      <c r="H27" s="65"/>
      <c r="I27" s="65"/>
      <c r="J27" s="65"/>
      <c r="K27" s="65"/>
      <c r="L27" s="65"/>
      <c r="M27" s="65"/>
      <c r="N27" s="65"/>
      <c r="O27" s="65"/>
      <c r="P27" s="65"/>
      <c r="Q27" s="65"/>
      <c r="S27" s="734" t="s">
        <v>1026</v>
      </c>
      <c r="T27" s="726"/>
      <c r="U27" s="726"/>
      <c r="V27" s="726"/>
      <c r="W27" s="726"/>
      <c r="X27" s="65"/>
      <c r="Y27" s="65"/>
    </row>
    <row r="28" spans="1:31" ht="57" thickTop="1" thickBot="1">
      <c r="A28" s="65"/>
      <c r="B28" s="1552"/>
      <c r="C28" s="1553" t="s">
        <v>367</v>
      </c>
      <c r="D28" s="1554" t="s">
        <v>389</v>
      </c>
      <c r="E28" s="1555" t="s">
        <v>376</v>
      </c>
      <c r="F28" s="1555" t="s">
        <v>390</v>
      </c>
      <c r="G28" s="1644" t="s">
        <v>452</v>
      </c>
      <c r="H28" s="1645" t="s">
        <v>738</v>
      </c>
      <c r="I28" s="1645" t="s">
        <v>663</v>
      </c>
      <c r="J28" s="1646" t="s">
        <v>518</v>
      </c>
      <c r="K28" s="1647" t="s">
        <v>1186</v>
      </c>
      <c r="L28" s="1578" t="s">
        <v>1240</v>
      </c>
      <c r="M28" s="1579" t="s">
        <v>1239</v>
      </c>
      <c r="N28" s="1647"/>
      <c r="O28" s="1647"/>
      <c r="P28" s="1647"/>
      <c r="Q28" s="1648"/>
      <c r="R28" s="161"/>
      <c r="S28" s="735" t="s">
        <v>1025</v>
      </c>
      <c r="T28" s="736"/>
      <c r="U28" s="737" t="s">
        <v>1024</v>
      </c>
      <c r="V28" s="738" t="s">
        <v>1022</v>
      </c>
      <c r="W28" s="738" t="s">
        <v>1023</v>
      </c>
      <c r="X28" s="739" t="s">
        <v>1021</v>
      </c>
      <c r="Y28" s="65"/>
      <c r="Z28" s="65"/>
    </row>
    <row r="29" spans="1:31" ht="14.15" customHeight="1" thickTop="1">
      <c r="A29" s="65"/>
      <c r="B29" s="1556" t="s">
        <v>181</v>
      </c>
      <c r="C29" s="74"/>
      <c r="D29" s="75">
        <v>4440</v>
      </c>
      <c r="E29" s="76">
        <v>4980</v>
      </c>
      <c r="F29" s="76">
        <v>4880</v>
      </c>
      <c r="G29" s="1565">
        <v>7250</v>
      </c>
      <c r="H29" s="1566">
        <v>7270</v>
      </c>
      <c r="I29" s="1567">
        <v>7900</v>
      </c>
      <c r="J29" s="1567">
        <v>8240</v>
      </c>
      <c r="K29" s="1568">
        <v>8310</v>
      </c>
      <c r="L29" s="1568">
        <v>8560</v>
      </c>
      <c r="M29" s="1568">
        <v>8910</v>
      </c>
      <c r="N29" s="1568"/>
      <c r="O29" s="1568"/>
      <c r="P29" s="1568"/>
      <c r="Q29" s="1649"/>
      <c r="R29" s="161"/>
      <c r="S29" s="2153" t="s">
        <v>1018</v>
      </c>
      <c r="T29" s="2154"/>
      <c r="U29" s="2155"/>
      <c r="V29" s="2151">
        <v>0.47599999999999998</v>
      </c>
      <c r="W29" s="2151">
        <v>0.45500000000000002</v>
      </c>
      <c r="X29" s="2165">
        <v>0.46500000000000002</v>
      </c>
      <c r="Y29" s="65"/>
      <c r="Z29" s="65"/>
    </row>
    <row r="30" spans="1:31" ht="14.15" customHeight="1">
      <c r="A30" s="65"/>
      <c r="B30" s="1557" t="s">
        <v>391</v>
      </c>
      <c r="C30" s="78"/>
      <c r="D30" s="79">
        <v>2610</v>
      </c>
      <c r="E30" s="80">
        <v>2230</v>
      </c>
      <c r="F30" s="80">
        <v>2190</v>
      </c>
      <c r="G30" s="1569">
        <v>5330</v>
      </c>
      <c r="H30" s="1570">
        <v>5450</v>
      </c>
      <c r="I30" s="1571">
        <v>5930</v>
      </c>
      <c r="J30" s="1571">
        <v>6180</v>
      </c>
      <c r="K30" s="1572">
        <v>6230</v>
      </c>
      <c r="L30" s="1572">
        <v>6420</v>
      </c>
      <c r="M30" s="1572">
        <v>6680</v>
      </c>
      <c r="N30" s="1572"/>
      <c r="O30" s="1572"/>
      <c r="P30" s="1572"/>
      <c r="Q30" s="1650"/>
      <c r="R30" s="161"/>
      <c r="S30" s="2156"/>
      <c r="T30" s="2157"/>
      <c r="U30" s="2158"/>
      <c r="V30" s="2152"/>
      <c r="W30" s="2152"/>
      <c r="X30" s="2166"/>
      <c r="Y30" s="65"/>
      <c r="Z30" s="65"/>
    </row>
    <row r="31" spans="1:31" ht="14.15" customHeight="1">
      <c r="A31" s="65"/>
      <c r="B31" s="1557" t="s">
        <v>392</v>
      </c>
      <c r="C31" s="78"/>
      <c r="D31" s="79">
        <v>1940</v>
      </c>
      <c r="E31" s="80">
        <v>1600</v>
      </c>
      <c r="F31" s="80">
        <v>1565</v>
      </c>
      <c r="G31" s="1569">
        <v>4450</v>
      </c>
      <c r="H31" s="1570">
        <v>4540</v>
      </c>
      <c r="I31" s="1571">
        <v>4940</v>
      </c>
      <c r="J31" s="1571">
        <v>5150</v>
      </c>
      <c r="K31" s="1572">
        <v>5190</v>
      </c>
      <c r="L31" s="1572">
        <v>5350</v>
      </c>
      <c r="M31" s="1572">
        <v>5570</v>
      </c>
      <c r="N31" s="1572"/>
      <c r="O31" s="1572"/>
      <c r="P31" s="1572"/>
      <c r="Q31" s="1650"/>
      <c r="R31" s="161"/>
      <c r="S31" s="2159" t="s">
        <v>1019</v>
      </c>
      <c r="T31" s="2160"/>
      <c r="U31" s="2161"/>
      <c r="V31" s="2151">
        <v>0.50700000000000001</v>
      </c>
      <c r="W31" s="2151">
        <v>0.48899999999999999</v>
      </c>
      <c r="X31" s="2165">
        <v>0.498</v>
      </c>
      <c r="Y31" s="65"/>
      <c r="Z31" s="65"/>
    </row>
    <row r="32" spans="1:31" ht="14.15" customHeight="1">
      <c r="A32" s="65"/>
      <c r="B32" s="1557" t="s">
        <v>393</v>
      </c>
      <c r="C32" s="78"/>
      <c r="D32" s="79">
        <v>1740</v>
      </c>
      <c r="E32" s="80">
        <v>1575</v>
      </c>
      <c r="F32" s="80">
        <v>1540</v>
      </c>
      <c r="G32" s="1569">
        <v>4140</v>
      </c>
      <c r="H32" s="1570">
        <v>4240</v>
      </c>
      <c r="I32" s="1571">
        <v>4610</v>
      </c>
      <c r="J32" s="1571">
        <v>4810</v>
      </c>
      <c r="K32" s="1572">
        <v>4850</v>
      </c>
      <c r="L32" s="1572">
        <v>4990</v>
      </c>
      <c r="M32" s="1572">
        <v>5200</v>
      </c>
      <c r="N32" s="1572"/>
      <c r="O32" s="1572"/>
      <c r="P32" s="1572"/>
      <c r="Q32" s="1650"/>
      <c r="R32" s="161"/>
      <c r="S32" s="2162"/>
      <c r="T32" s="2163"/>
      <c r="U32" s="2164"/>
      <c r="V32" s="2152"/>
      <c r="W32" s="2152"/>
      <c r="X32" s="2166"/>
      <c r="Y32" s="65"/>
      <c r="Z32" s="65"/>
    </row>
    <row r="33" spans="1:26" ht="14.15" customHeight="1">
      <c r="A33" s="65"/>
      <c r="B33" s="1557" t="s">
        <v>394</v>
      </c>
      <c r="C33" s="78"/>
      <c r="D33" s="79">
        <v>1650</v>
      </c>
      <c r="E33" s="80">
        <v>1565</v>
      </c>
      <c r="F33" s="80">
        <v>1530</v>
      </c>
      <c r="G33" s="1569">
        <v>4000</v>
      </c>
      <c r="H33" s="1570">
        <v>4090</v>
      </c>
      <c r="I33" s="1571">
        <v>4440</v>
      </c>
      <c r="J33" s="1571">
        <v>4640</v>
      </c>
      <c r="K33" s="1572">
        <v>4670</v>
      </c>
      <c r="L33" s="1572">
        <v>4810</v>
      </c>
      <c r="M33" s="1572">
        <v>5010</v>
      </c>
      <c r="N33" s="1572"/>
      <c r="O33" s="1572"/>
      <c r="P33" s="1572"/>
      <c r="Q33" s="1650"/>
      <c r="R33" s="161"/>
      <c r="S33" s="2153" t="s">
        <v>1020</v>
      </c>
      <c r="T33" s="2154"/>
      <c r="U33" s="2155"/>
      <c r="V33" s="2151">
        <v>0.48799999999999999</v>
      </c>
      <c r="W33" s="2151">
        <v>0.46500000000000002</v>
      </c>
      <c r="X33" s="2165">
        <v>0.47599999999999998</v>
      </c>
      <c r="Y33" s="65"/>
      <c r="Z33" s="65"/>
    </row>
    <row r="34" spans="1:26" ht="14.15" customHeight="1" thickBot="1">
      <c r="A34" s="65"/>
      <c r="B34" s="1557" t="s">
        <v>395</v>
      </c>
      <c r="C34" s="78"/>
      <c r="D34" s="79">
        <v>1610</v>
      </c>
      <c r="E34" s="80">
        <v>1550</v>
      </c>
      <c r="F34" s="80">
        <v>1520</v>
      </c>
      <c r="G34" s="1569">
        <v>3910</v>
      </c>
      <c r="H34" s="1570">
        <v>4000</v>
      </c>
      <c r="I34" s="1571">
        <v>4340</v>
      </c>
      <c r="J34" s="1571">
        <v>4530</v>
      </c>
      <c r="K34" s="1572">
        <v>4570</v>
      </c>
      <c r="L34" s="1572">
        <v>4700</v>
      </c>
      <c r="M34" s="1572">
        <v>4900</v>
      </c>
      <c r="N34" s="1572"/>
      <c r="O34" s="1572"/>
      <c r="P34" s="1572"/>
      <c r="Q34" s="1650"/>
      <c r="R34" s="161"/>
      <c r="S34" s="2179"/>
      <c r="T34" s="2180"/>
      <c r="U34" s="2181"/>
      <c r="V34" s="2170"/>
      <c r="W34" s="2170"/>
      <c r="X34" s="2171"/>
      <c r="Y34" s="65"/>
      <c r="Z34" s="65"/>
    </row>
    <row r="35" spans="1:26" ht="14.15" customHeight="1" thickTop="1">
      <c r="A35" s="65"/>
      <c r="B35" s="1557" t="s">
        <v>396</v>
      </c>
      <c r="C35" s="78"/>
      <c r="D35" s="79">
        <v>1580</v>
      </c>
      <c r="E35" s="80">
        <v>1540</v>
      </c>
      <c r="F35" s="80">
        <v>1505</v>
      </c>
      <c r="G35" s="1569">
        <v>3700</v>
      </c>
      <c r="H35" s="1570">
        <v>3790</v>
      </c>
      <c r="I35" s="1571">
        <v>4110</v>
      </c>
      <c r="J35" s="1571">
        <v>4290</v>
      </c>
      <c r="K35" s="1572">
        <v>4330</v>
      </c>
      <c r="L35" s="1572">
        <v>4450</v>
      </c>
      <c r="M35" s="1572">
        <v>4640</v>
      </c>
      <c r="N35" s="1572"/>
      <c r="O35" s="1572"/>
      <c r="P35" s="1572"/>
      <c r="Q35" s="1650"/>
      <c r="R35" s="161"/>
      <c r="S35" s="65"/>
      <c r="T35" s="65"/>
      <c r="U35" s="65"/>
      <c r="V35" s="65"/>
      <c r="W35" s="65"/>
      <c r="X35" s="65"/>
      <c r="Y35" s="65"/>
      <c r="Z35" s="65"/>
    </row>
    <row r="36" spans="1:26" ht="14.15" customHeight="1" thickBot="1">
      <c r="A36" s="65"/>
      <c r="B36" s="1558" t="s">
        <v>397</v>
      </c>
      <c r="C36" s="1559"/>
      <c r="D36" s="1560">
        <v>1570</v>
      </c>
      <c r="E36" s="1561">
        <v>1530</v>
      </c>
      <c r="F36" s="1561">
        <v>1495</v>
      </c>
      <c r="G36" s="1573">
        <v>3560</v>
      </c>
      <c r="H36" s="1574">
        <v>3640</v>
      </c>
      <c r="I36" s="1575">
        <v>3950</v>
      </c>
      <c r="J36" s="1575">
        <v>4120</v>
      </c>
      <c r="K36" s="1576">
        <v>4150</v>
      </c>
      <c r="L36" s="1576">
        <v>4280</v>
      </c>
      <c r="M36" s="1576">
        <v>4450</v>
      </c>
      <c r="N36" s="1576"/>
      <c r="O36" s="1576"/>
      <c r="P36" s="1576"/>
      <c r="Q36" s="1651"/>
      <c r="R36" s="161"/>
      <c r="S36" s="65"/>
      <c r="T36" s="65"/>
      <c r="U36" s="65"/>
      <c r="V36" s="65"/>
      <c r="W36" s="65"/>
      <c r="X36" s="65"/>
      <c r="Y36" s="65"/>
      <c r="Z36" s="65"/>
    </row>
    <row r="37" spans="1:26" ht="14.15" customHeight="1">
      <c r="A37" s="65"/>
      <c r="B37" s="161"/>
      <c r="C37" s="161"/>
      <c r="D37" s="161"/>
      <c r="E37" s="161"/>
      <c r="F37" s="161"/>
      <c r="G37" s="161"/>
      <c r="H37" s="161"/>
      <c r="I37" s="161"/>
      <c r="J37" s="161"/>
      <c r="K37" s="161"/>
      <c r="L37" s="161"/>
      <c r="M37" s="65"/>
      <c r="N37" s="65"/>
      <c r="O37" s="65"/>
      <c r="P37" s="65"/>
      <c r="Q37" s="65"/>
      <c r="R37" s="65"/>
      <c r="S37" s="65"/>
      <c r="T37" s="65"/>
    </row>
    <row r="38" spans="1:26" ht="20.149999999999999" customHeight="1" thickBot="1">
      <c r="A38" s="65"/>
      <c r="B38" s="65"/>
      <c r="C38" s="83" t="s">
        <v>1010</v>
      </c>
      <c r="D38" s="65"/>
      <c r="E38" s="65"/>
      <c r="F38" s="65"/>
      <c r="G38" s="65"/>
      <c r="H38" s="65"/>
      <c r="I38" s="65"/>
      <c r="J38" s="83" t="s">
        <v>758</v>
      </c>
      <c r="K38" s="65"/>
      <c r="L38" s="65"/>
      <c r="M38" s="65"/>
      <c r="N38" s="65"/>
      <c r="O38" s="65"/>
      <c r="P38" s="65"/>
      <c r="Q38" s="83" t="s">
        <v>1013</v>
      </c>
      <c r="R38" s="65"/>
      <c r="S38" s="65"/>
      <c r="T38" s="65"/>
    </row>
    <row r="39" spans="1:26" ht="17.149999999999999" customHeight="1" thickTop="1" thickBot="1">
      <c r="A39" s="65"/>
      <c r="B39" s="65"/>
      <c r="C39" s="84" t="s">
        <v>398</v>
      </c>
      <c r="D39" s="85" t="s">
        <v>757</v>
      </c>
      <c r="E39" s="84" t="s">
        <v>398</v>
      </c>
      <c r="F39" s="85" t="s">
        <v>757</v>
      </c>
      <c r="G39" s="84" t="s">
        <v>398</v>
      </c>
      <c r="H39" s="85" t="s">
        <v>757</v>
      </c>
      <c r="I39" s="72"/>
      <c r="J39" s="84" t="s">
        <v>398</v>
      </c>
      <c r="K39" s="85" t="s">
        <v>757</v>
      </c>
      <c r="L39" s="84" t="s">
        <v>398</v>
      </c>
      <c r="M39" s="85" t="s">
        <v>757</v>
      </c>
      <c r="N39" s="84" t="s">
        <v>398</v>
      </c>
      <c r="O39" s="85" t="s">
        <v>757</v>
      </c>
      <c r="P39" s="72"/>
      <c r="Q39" s="2141" t="s">
        <v>794</v>
      </c>
      <c r="R39" s="2142"/>
      <c r="S39" s="288" t="s">
        <v>399</v>
      </c>
      <c r="T39" s="65"/>
    </row>
    <row r="40" spans="1:26" ht="14.15" customHeight="1" thickTop="1">
      <c r="A40" s="65"/>
      <c r="B40" s="65"/>
      <c r="C40" s="1495" t="s">
        <v>400</v>
      </c>
      <c r="D40" s="1496">
        <v>8</v>
      </c>
      <c r="E40" s="1497" t="s">
        <v>41</v>
      </c>
      <c r="F40" s="1498">
        <v>9.8000000000000007</v>
      </c>
      <c r="G40" s="1499" t="s">
        <v>401</v>
      </c>
      <c r="H40" s="1498">
        <v>9.5</v>
      </c>
      <c r="I40" s="72"/>
      <c r="J40" s="1495" t="s">
        <v>400</v>
      </c>
      <c r="K40" s="1511">
        <v>5513</v>
      </c>
      <c r="L40" s="1497" t="s">
        <v>41</v>
      </c>
      <c r="M40" s="1512">
        <v>5851</v>
      </c>
      <c r="N40" s="1513" t="s">
        <v>401</v>
      </c>
      <c r="O40" s="1512">
        <v>5696</v>
      </c>
      <c r="P40" s="72"/>
      <c r="Q40" s="2147" t="s">
        <v>787</v>
      </c>
      <c r="R40" s="284" t="s">
        <v>788</v>
      </c>
      <c r="S40" s="283">
        <v>1.7000000000000001E-2</v>
      </c>
      <c r="T40" s="65"/>
    </row>
    <row r="41" spans="1:26" ht="14.15" customHeight="1">
      <c r="A41" s="65"/>
      <c r="B41" s="65"/>
      <c r="C41" s="1500" t="s">
        <v>402</v>
      </c>
      <c r="D41" s="1501">
        <v>7.8</v>
      </c>
      <c r="E41" s="1502" t="s">
        <v>42</v>
      </c>
      <c r="F41" s="1503">
        <v>11.1</v>
      </c>
      <c r="G41" s="1504" t="s">
        <v>403</v>
      </c>
      <c r="H41" s="1503">
        <v>11.5</v>
      </c>
      <c r="I41" s="72"/>
      <c r="J41" s="1500" t="s">
        <v>402</v>
      </c>
      <c r="K41" s="1514">
        <v>4967</v>
      </c>
      <c r="L41" s="1502" t="s">
        <v>42</v>
      </c>
      <c r="M41" s="1515">
        <v>5999</v>
      </c>
      <c r="N41" s="1516" t="s">
        <v>403</v>
      </c>
      <c r="O41" s="1515">
        <v>5875</v>
      </c>
      <c r="P41" s="72"/>
      <c r="Q41" s="2148"/>
      <c r="R41" s="285" t="s">
        <v>789</v>
      </c>
      <c r="S41" s="281">
        <v>1.4E-2</v>
      </c>
      <c r="T41" s="65"/>
    </row>
    <row r="42" spans="1:26" ht="14.15" customHeight="1">
      <c r="A42" s="65"/>
      <c r="B42" s="65"/>
      <c r="C42" s="1500" t="s">
        <v>404</v>
      </c>
      <c r="D42" s="1501">
        <v>9.6999999999999993</v>
      </c>
      <c r="E42" s="1502" t="s">
        <v>881</v>
      </c>
      <c r="F42" s="1503">
        <v>8.1999999999999993</v>
      </c>
      <c r="G42" s="1504" t="s">
        <v>405</v>
      </c>
      <c r="H42" s="1503">
        <v>9.6999999999999993</v>
      </c>
      <c r="I42" s="72"/>
      <c r="J42" s="1500" t="s">
        <v>404</v>
      </c>
      <c r="K42" s="1514">
        <v>5103</v>
      </c>
      <c r="L42" s="1502" t="s">
        <v>881</v>
      </c>
      <c r="M42" s="1515">
        <v>5818</v>
      </c>
      <c r="N42" s="1516" t="s">
        <v>405</v>
      </c>
      <c r="O42" s="1515">
        <v>5574</v>
      </c>
      <c r="P42" s="72"/>
      <c r="Q42" s="2143" t="s">
        <v>790</v>
      </c>
      <c r="R42" s="2144"/>
      <c r="S42" s="281">
        <v>8.9999999999999993E-3</v>
      </c>
      <c r="T42" s="65"/>
    </row>
    <row r="43" spans="1:26" ht="14.15" customHeight="1">
      <c r="A43" s="65"/>
      <c r="B43" s="65"/>
      <c r="C43" s="1500" t="s">
        <v>406</v>
      </c>
      <c r="D43" s="1501">
        <v>13.1</v>
      </c>
      <c r="E43" s="1502" t="s">
        <v>882</v>
      </c>
      <c r="F43" s="1503">
        <v>10.199999999999999</v>
      </c>
      <c r="G43" s="1504" t="s">
        <v>407</v>
      </c>
      <c r="H43" s="1503">
        <v>9.1</v>
      </c>
      <c r="I43" s="72"/>
      <c r="J43" s="1500" t="s">
        <v>406</v>
      </c>
      <c r="K43" s="1514">
        <v>5365</v>
      </c>
      <c r="L43" s="1502" t="s">
        <v>882</v>
      </c>
      <c r="M43" s="1515">
        <v>5734</v>
      </c>
      <c r="N43" s="1516" t="s">
        <v>407</v>
      </c>
      <c r="O43" s="1515">
        <v>5638</v>
      </c>
      <c r="P43" s="72"/>
      <c r="Q43" s="1000" t="s">
        <v>11</v>
      </c>
      <c r="R43" s="1002"/>
      <c r="S43" s="1379">
        <v>0.2</v>
      </c>
      <c r="T43" s="65"/>
    </row>
    <row r="44" spans="1:26" ht="14.15" customHeight="1">
      <c r="A44" s="65"/>
      <c r="B44" s="65"/>
      <c r="C44" s="1500" t="s">
        <v>408</v>
      </c>
      <c r="D44" s="1501">
        <v>7.4</v>
      </c>
      <c r="E44" s="1502" t="s">
        <v>890</v>
      </c>
      <c r="F44" s="1503">
        <v>11.5</v>
      </c>
      <c r="G44" s="1504" t="s">
        <v>409</v>
      </c>
      <c r="H44" s="1503">
        <v>8.4</v>
      </c>
      <c r="I44" s="72"/>
      <c r="J44" s="1500" t="s">
        <v>408</v>
      </c>
      <c r="K44" s="1514">
        <v>5038</v>
      </c>
      <c r="L44" s="1502" t="s">
        <v>1189</v>
      </c>
      <c r="M44" s="1515">
        <v>6158</v>
      </c>
      <c r="N44" s="1516" t="s">
        <v>409</v>
      </c>
      <c r="O44" s="1515">
        <v>5696</v>
      </c>
      <c r="P44" s="72"/>
      <c r="Q44" s="1003" t="s">
        <v>12</v>
      </c>
      <c r="R44" s="1001"/>
      <c r="S44" s="281">
        <v>0.15</v>
      </c>
      <c r="T44" s="65"/>
    </row>
    <row r="45" spans="1:26" ht="14.15" customHeight="1">
      <c r="A45" s="65"/>
      <c r="B45" s="65"/>
      <c r="C45" s="1500" t="s">
        <v>410</v>
      </c>
      <c r="D45" s="1501">
        <v>13.1</v>
      </c>
      <c r="E45" s="1502" t="s">
        <v>883</v>
      </c>
      <c r="F45" s="1503">
        <v>13</v>
      </c>
      <c r="G45" s="1504" t="s">
        <v>411</v>
      </c>
      <c r="H45" s="1503">
        <v>8.8000000000000007</v>
      </c>
      <c r="I45" s="72"/>
      <c r="J45" s="1500" t="s">
        <v>410</v>
      </c>
      <c r="K45" s="1514">
        <v>5088</v>
      </c>
      <c r="L45" s="1502" t="s">
        <v>883</v>
      </c>
      <c r="M45" s="1515">
        <v>5956</v>
      </c>
      <c r="N45" s="1516" t="s">
        <v>411</v>
      </c>
      <c r="O45" s="1515">
        <v>5273</v>
      </c>
      <c r="P45" s="72"/>
      <c r="Q45" s="286" t="s">
        <v>791</v>
      </c>
      <c r="R45" s="287"/>
      <c r="S45" s="281">
        <v>0.35</v>
      </c>
      <c r="T45" s="65"/>
    </row>
    <row r="46" spans="1:26" ht="14.15" customHeight="1">
      <c r="A46" s="65"/>
      <c r="B46" s="65"/>
      <c r="C46" s="1500" t="s">
        <v>412</v>
      </c>
      <c r="D46" s="1501">
        <v>12.6</v>
      </c>
      <c r="E46" s="1502" t="s">
        <v>884</v>
      </c>
      <c r="F46" s="1503">
        <v>13.2</v>
      </c>
      <c r="G46" s="1504" t="s">
        <v>413</v>
      </c>
      <c r="H46" s="1503">
        <v>10.8</v>
      </c>
      <c r="I46" s="72"/>
      <c r="J46" s="1500" t="s">
        <v>412</v>
      </c>
      <c r="K46" s="1514">
        <v>5460</v>
      </c>
      <c r="L46" s="1502" t="s">
        <v>884</v>
      </c>
      <c r="M46" s="1515">
        <v>6113</v>
      </c>
      <c r="N46" s="1516" t="s">
        <v>413</v>
      </c>
      <c r="O46" s="1515">
        <v>5243</v>
      </c>
      <c r="P46" s="72"/>
      <c r="Q46" s="2143" t="s">
        <v>792</v>
      </c>
      <c r="R46" s="2144"/>
      <c r="S46" s="1443">
        <f>ROUND(IF(基本入力!C24=0,基本入力!C23/(1-(基本入力!C23+基本入力!C23*(説明書!O70+説明書!Q70+説明書!S70))),基本入力!C23*1.1/(1-(基本入力!C23*1.1+基本入力!C23*1.1*(説明書!O70+説明書!Q70+説明書!S70)))),4)</f>
        <v>0.182</v>
      </c>
      <c r="T46" s="65"/>
      <c r="U46" s="1485"/>
    </row>
    <row r="47" spans="1:26" ht="14.15" customHeight="1">
      <c r="A47" s="65"/>
      <c r="B47" s="65"/>
      <c r="C47" s="1500" t="s">
        <v>414</v>
      </c>
      <c r="D47" s="1501">
        <v>12</v>
      </c>
      <c r="E47" s="1502" t="s">
        <v>885</v>
      </c>
      <c r="F47" s="1503">
        <v>9.9</v>
      </c>
      <c r="G47" s="1504" t="s">
        <v>415</v>
      </c>
      <c r="H47" s="1503">
        <v>9.6999999999999993</v>
      </c>
      <c r="I47" s="72"/>
      <c r="J47" s="1500" t="s">
        <v>414</v>
      </c>
      <c r="K47" s="1514">
        <v>5743</v>
      </c>
      <c r="L47" s="1502" t="s">
        <v>885</v>
      </c>
      <c r="M47" s="1515">
        <v>5727</v>
      </c>
      <c r="N47" s="1516" t="s">
        <v>415</v>
      </c>
      <c r="O47" s="1515">
        <v>5604</v>
      </c>
      <c r="P47" s="72"/>
      <c r="Q47" s="2172" t="s">
        <v>786</v>
      </c>
      <c r="R47" s="2173"/>
      <c r="S47" s="1443">
        <f>ROUND(基本入力!C23/(1-(基本入力!C23+基本入力!C23*(説明書!O70+説明書!Q70+説明書!S70))),4)</f>
        <v>0.182</v>
      </c>
      <c r="T47" s="65"/>
    </row>
    <row r="48" spans="1:26" ht="14.15" customHeight="1">
      <c r="A48" s="65"/>
      <c r="B48" s="65"/>
      <c r="C48" s="1500" t="s">
        <v>416</v>
      </c>
      <c r="D48" s="1501">
        <v>13.6</v>
      </c>
      <c r="E48" s="1502" t="s">
        <v>1188</v>
      </c>
      <c r="F48" s="1503">
        <v>11.8</v>
      </c>
      <c r="G48" s="1504" t="s">
        <v>417</v>
      </c>
      <c r="H48" s="1503">
        <v>9.1999999999999993</v>
      </c>
      <c r="I48" s="72"/>
      <c r="J48" s="1500" t="s">
        <v>416</v>
      </c>
      <c r="K48" s="1514">
        <v>5661</v>
      </c>
      <c r="L48" s="1502" t="s">
        <v>1188</v>
      </c>
      <c r="M48" s="1515">
        <v>6482</v>
      </c>
      <c r="N48" s="1516" t="s">
        <v>417</v>
      </c>
      <c r="O48" s="1515">
        <v>5262</v>
      </c>
      <c r="P48" s="72"/>
      <c r="Q48" s="2145" t="s">
        <v>793</v>
      </c>
      <c r="R48" s="2146"/>
      <c r="S48" s="1022">
        <v>7.0000000000000007E-2</v>
      </c>
      <c r="T48" s="65"/>
    </row>
    <row r="49" spans="1:20" ht="14.15" customHeight="1" thickBot="1">
      <c r="A49" s="65"/>
      <c r="B49" s="65"/>
      <c r="C49" s="1500" t="s">
        <v>418</v>
      </c>
      <c r="D49" s="1501">
        <v>12.3</v>
      </c>
      <c r="E49" s="1502" t="s">
        <v>886</v>
      </c>
      <c r="F49" s="1503">
        <v>10.199999999999999</v>
      </c>
      <c r="G49" s="1504" t="s">
        <v>419</v>
      </c>
      <c r="H49" s="1503">
        <v>9.8000000000000007</v>
      </c>
      <c r="I49" s="72"/>
      <c r="J49" s="1500" t="s">
        <v>418</v>
      </c>
      <c r="K49" s="1514">
        <v>5713</v>
      </c>
      <c r="L49" s="1502" t="s">
        <v>1190</v>
      </c>
      <c r="M49" s="1515">
        <v>6100</v>
      </c>
      <c r="N49" s="1516" t="s">
        <v>419</v>
      </c>
      <c r="O49" s="1515">
        <v>5141</v>
      </c>
      <c r="P49" s="72"/>
      <c r="Q49" s="2149" t="s">
        <v>21</v>
      </c>
      <c r="R49" s="2150"/>
      <c r="S49" s="282">
        <v>1.2E-2</v>
      </c>
      <c r="T49" s="65"/>
    </row>
    <row r="50" spans="1:20" ht="14.15" customHeight="1" thickTop="1" thickBot="1">
      <c r="A50" s="65"/>
      <c r="B50" s="65"/>
      <c r="C50" s="1500" t="s">
        <v>420</v>
      </c>
      <c r="D50" s="1501">
        <v>12.8</v>
      </c>
      <c r="E50" s="1502" t="s">
        <v>887</v>
      </c>
      <c r="F50" s="1503">
        <v>11.3</v>
      </c>
      <c r="G50" s="1504" t="s">
        <v>421</v>
      </c>
      <c r="H50" s="1503">
        <v>8.6999999999999993</v>
      </c>
      <c r="I50" s="72"/>
      <c r="J50" s="1500" t="s">
        <v>420</v>
      </c>
      <c r="K50" s="1514">
        <v>6085</v>
      </c>
      <c r="L50" s="1502" t="s">
        <v>887</v>
      </c>
      <c r="M50" s="1515">
        <v>5809</v>
      </c>
      <c r="N50" s="1516" t="s">
        <v>421</v>
      </c>
      <c r="O50" s="1515">
        <v>5150</v>
      </c>
      <c r="P50" s="72"/>
      <c r="Q50" s="1444" t="s">
        <v>13</v>
      </c>
      <c r="R50" s="1444"/>
      <c r="S50" s="1444"/>
      <c r="T50" s="65"/>
    </row>
    <row r="51" spans="1:20" ht="14.15" customHeight="1" thickTop="1" thickBot="1">
      <c r="A51" s="65"/>
      <c r="B51" s="65"/>
      <c r="C51" s="1500" t="s">
        <v>422</v>
      </c>
      <c r="D51" s="1501">
        <v>12.9</v>
      </c>
      <c r="E51" s="1502" t="s">
        <v>888</v>
      </c>
      <c r="F51" s="1503">
        <v>11.4</v>
      </c>
      <c r="G51" s="1504" t="s">
        <v>423</v>
      </c>
      <c r="H51" s="1503">
        <v>8.1999999999999993</v>
      </c>
      <c r="I51" s="72"/>
      <c r="J51" s="1500" t="s">
        <v>422</v>
      </c>
      <c r="K51" s="1514">
        <v>6132</v>
      </c>
      <c r="L51" s="1502" t="s">
        <v>888</v>
      </c>
      <c r="M51" s="1515">
        <v>6040</v>
      </c>
      <c r="N51" s="1516" t="s">
        <v>423</v>
      </c>
      <c r="O51" s="1515">
        <v>5507</v>
      </c>
      <c r="P51" s="72"/>
      <c r="Q51" s="2141" t="s">
        <v>794</v>
      </c>
      <c r="R51" s="2142"/>
      <c r="S51" s="288" t="s">
        <v>399</v>
      </c>
      <c r="T51" s="65"/>
    </row>
    <row r="52" spans="1:20" ht="14.15" customHeight="1" thickTop="1">
      <c r="A52" s="65"/>
      <c r="B52" s="65"/>
      <c r="C52" s="1500" t="s">
        <v>424</v>
      </c>
      <c r="D52" s="1501">
        <v>13.1</v>
      </c>
      <c r="E52" s="1502" t="s">
        <v>425</v>
      </c>
      <c r="F52" s="1503">
        <v>11.3</v>
      </c>
      <c r="G52" s="1504" t="s">
        <v>426</v>
      </c>
      <c r="H52" s="1503">
        <v>9.1</v>
      </c>
      <c r="I52" s="72"/>
      <c r="J52" s="1500" t="s">
        <v>424</v>
      </c>
      <c r="K52" s="1514">
        <v>7398</v>
      </c>
      <c r="L52" s="1502" t="s">
        <v>425</v>
      </c>
      <c r="M52" s="1515">
        <v>5980</v>
      </c>
      <c r="N52" s="1516" t="s">
        <v>426</v>
      </c>
      <c r="O52" s="1515">
        <v>5040</v>
      </c>
      <c r="P52" s="72"/>
      <c r="Q52" s="1004" t="s">
        <v>38</v>
      </c>
      <c r="R52" s="1005"/>
      <c r="S52" s="1492">
        <v>0.46</v>
      </c>
      <c r="T52" s="65"/>
    </row>
    <row r="53" spans="1:20" ht="14.15" customHeight="1">
      <c r="A53" s="65"/>
      <c r="B53" s="65"/>
      <c r="C53" s="1500" t="s">
        <v>427</v>
      </c>
      <c r="D53" s="1501">
        <v>11.6</v>
      </c>
      <c r="E53" s="1502" t="s">
        <v>428</v>
      </c>
      <c r="F53" s="1503">
        <v>9.5</v>
      </c>
      <c r="G53" s="1504" t="s">
        <v>429</v>
      </c>
      <c r="H53" s="1503">
        <v>9.6</v>
      </c>
      <c r="I53" s="72"/>
      <c r="J53" s="1500" t="s">
        <v>427</v>
      </c>
      <c r="K53" s="1514">
        <v>6601</v>
      </c>
      <c r="L53" s="1502" t="s">
        <v>428</v>
      </c>
      <c r="M53" s="1515">
        <v>5572</v>
      </c>
      <c r="N53" s="1516" t="s">
        <v>429</v>
      </c>
      <c r="O53" s="1515">
        <v>5246</v>
      </c>
      <c r="P53" s="72"/>
      <c r="Q53" s="1003" t="s">
        <v>39</v>
      </c>
      <c r="R53" s="1001"/>
      <c r="S53" s="1493">
        <v>0.46</v>
      </c>
      <c r="T53" s="65"/>
    </row>
    <row r="54" spans="1:20" ht="14.15" customHeight="1" thickBot="1">
      <c r="A54" s="65"/>
      <c r="B54" s="65"/>
      <c r="C54" s="1505" t="s">
        <v>430</v>
      </c>
      <c r="D54" s="1501">
        <v>7.9</v>
      </c>
      <c r="E54" s="1502" t="s">
        <v>431</v>
      </c>
      <c r="F54" s="1503">
        <v>10</v>
      </c>
      <c r="G54" s="1504" t="s">
        <v>432</v>
      </c>
      <c r="H54" s="1503">
        <v>6.5</v>
      </c>
      <c r="I54" s="72"/>
      <c r="J54" s="1505" t="s">
        <v>430</v>
      </c>
      <c r="K54" s="1514">
        <v>5569</v>
      </c>
      <c r="L54" s="1502" t="s">
        <v>431</v>
      </c>
      <c r="M54" s="1515">
        <v>5214</v>
      </c>
      <c r="N54" s="1516" t="s">
        <v>432</v>
      </c>
      <c r="O54" s="1515">
        <v>5155</v>
      </c>
      <c r="P54" s="72"/>
      <c r="Q54" s="1006" t="s">
        <v>760</v>
      </c>
      <c r="R54" s="1007"/>
      <c r="S54" s="1494">
        <v>0.46</v>
      </c>
      <c r="T54" s="65"/>
    </row>
    <row r="55" spans="1:20" ht="14.15" customHeight="1" thickTop="1" thickBot="1">
      <c r="A55" s="65"/>
      <c r="B55" s="65"/>
      <c r="C55" s="1506" t="s">
        <v>889</v>
      </c>
      <c r="D55" s="1507">
        <v>13.6</v>
      </c>
      <c r="E55" s="1508" t="s">
        <v>433</v>
      </c>
      <c r="F55" s="1509">
        <v>10.5</v>
      </c>
      <c r="G55" s="1510"/>
      <c r="H55" s="1509"/>
      <c r="I55" s="72"/>
      <c r="J55" s="1506" t="s">
        <v>889</v>
      </c>
      <c r="K55" s="1517">
        <v>5565</v>
      </c>
      <c r="L55" s="1508" t="s">
        <v>433</v>
      </c>
      <c r="M55" s="1518">
        <v>5165</v>
      </c>
      <c r="N55" s="1519"/>
      <c r="O55" s="1518"/>
      <c r="P55" s="72"/>
      <c r="Q55" s="65"/>
      <c r="R55" s="65"/>
      <c r="S55" s="65"/>
      <c r="T55" s="65"/>
    </row>
    <row r="56" spans="1:20" ht="14.15" customHeight="1" thickTop="1" thickBot="1">
      <c r="A56" s="65"/>
      <c r="B56" s="65"/>
      <c r="C56" s="82"/>
      <c r="D56" s="82"/>
      <c r="E56" s="82"/>
      <c r="F56" s="82"/>
      <c r="G56" s="82"/>
      <c r="H56" s="82"/>
      <c r="I56" s="65"/>
      <c r="J56" s="82"/>
      <c r="K56" s="82"/>
      <c r="L56" s="82"/>
      <c r="M56" s="82"/>
      <c r="N56" s="82"/>
      <c r="O56" s="82"/>
      <c r="P56" s="65"/>
      <c r="Q56" s="65"/>
      <c r="R56" s="65"/>
      <c r="S56" s="65"/>
      <c r="T56" s="65"/>
    </row>
    <row r="57" spans="1:20" ht="14.15" customHeight="1" thickTop="1" thickBot="1">
      <c r="A57" s="65"/>
      <c r="B57" s="65" t="s">
        <v>434</v>
      </c>
      <c r="C57" s="985"/>
      <c r="D57" s="986">
        <f>IF(基本入力!J5&lt;17,CHOOSE(基本入力!J5,D40,D41,D42,D43,D44,D45,D46,D47,D48,D49,D50,D51,D52,D53,D54,D55),0)</f>
        <v>13.1</v>
      </c>
      <c r="E57" s="986"/>
      <c r="F57" s="986">
        <f>IF(AND(基本入力!J5&gt;16,基本入力!J5&lt;33),CHOOSE((基本入力!J5)-16,F40,F41,F42,F43,F44,F45,F46,F47,F48,F49,F50,F51,F52,F53,F54,F55),0)</f>
        <v>0</v>
      </c>
      <c r="G57" s="986"/>
      <c r="H57" s="987">
        <f>IF(基本入力!J5&gt;32,CHOOSE((基本入力!J5)-32,H40,H41,H42,H43,H44,H45,H46,H47,H48,H49,H50,H51,H52,H53,H54,H55),0)</f>
        <v>0</v>
      </c>
      <c r="I57" s="72"/>
      <c r="J57" s="985"/>
      <c r="K57" s="986">
        <f>IF(基本入力!D11&lt;17,CHOOSE((基本入力!D11)+1,0,K40,K41,K42,K43,K44,K45,K46,K47,K48,K49,K50,K51,K52,K53,K54,K55),0)</f>
        <v>7398</v>
      </c>
      <c r="L57" s="986"/>
      <c r="M57" s="986">
        <f>IF(AND(基本入力!D11&gt;16,基本入力!D11&lt;33),CHOOSE((基本入力!D11-16)+1,0,M40,M41,M42,M43,M44,M45,M46,M47,M48,M49,M50,M51,M52,M53,M54,M55),0)</f>
        <v>0</v>
      </c>
      <c r="N57" s="986"/>
      <c r="O57" s="987">
        <f>IF(基本入力!D11&gt;32,CHOOSE((基本入力!D11-32)+1,0,O40,O41,O42,O43,O44,O45,O46,O47,O48,O49,O50,O51,O52,O53,O54,O55),0)</f>
        <v>0</v>
      </c>
      <c r="P57" s="72"/>
      <c r="Q57" s="65"/>
      <c r="R57" s="65"/>
      <c r="S57" s="65"/>
      <c r="T57" s="65"/>
    </row>
    <row r="58" spans="1:20" ht="14.15" customHeight="1" thickTop="1">
      <c r="A58" s="65"/>
      <c r="B58" s="65"/>
      <c r="C58" s="82"/>
      <c r="D58" s="82"/>
      <c r="E58" s="82"/>
      <c r="F58" s="82"/>
      <c r="G58" s="82"/>
      <c r="H58" s="82"/>
      <c r="I58" s="65"/>
      <c r="J58" s="82"/>
      <c r="K58" s="82"/>
      <c r="L58" s="82"/>
      <c r="M58" s="82"/>
      <c r="N58" s="82"/>
      <c r="O58" s="82"/>
      <c r="P58" s="65"/>
      <c r="Q58" s="65"/>
      <c r="R58" s="65"/>
      <c r="S58" s="65"/>
      <c r="T58" s="65"/>
    </row>
    <row r="59" spans="1:20" ht="14.15" customHeight="1">
      <c r="A59" s="65"/>
      <c r="B59" s="65"/>
      <c r="C59" s="65"/>
      <c r="D59" s="65"/>
      <c r="E59" s="65"/>
      <c r="F59" s="65"/>
      <c r="G59" s="65"/>
      <c r="T59" s="65"/>
    </row>
    <row r="60" spans="1:20" ht="19" customHeight="1" thickBot="1">
      <c r="A60" s="65"/>
      <c r="B60" s="65"/>
      <c r="C60" s="83" t="s">
        <v>1166</v>
      </c>
      <c r="D60" s="65"/>
      <c r="E60" s="65"/>
      <c r="F60" s="65"/>
      <c r="G60" s="65"/>
      <c r="H60" s="83" t="s">
        <v>1014</v>
      </c>
      <c r="I60" s="65"/>
      <c r="J60" s="65"/>
      <c r="K60" s="65"/>
      <c r="L60" s="65"/>
      <c r="M60" s="65"/>
      <c r="N60" s="65"/>
      <c r="O60" s="65"/>
      <c r="P60" s="65"/>
      <c r="Q60" s="65"/>
      <c r="R60" s="65"/>
      <c r="S60" s="65"/>
      <c r="T60" s="65"/>
    </row>
    <row r="61" spans="1:20" ht="14.15" customHeight="1" thickTop="1">
      <c r="A61" s="65"/>
      <c r="B61" s="65"/>
      <c r="C61" s="68" t="s">
        <v>435</v>
      </c>
      <c r="D61" s="954" t="s">
        <v>436</v>
      </c>
      <c r="E61" s="1520">
        <v>3.27E-2</v>
      </c>
      <c r="F61" s="72"/>
      <c r="G61" s="68"/>
      <c r="H61" s="68"/>
      <c r="I61" s="86" t="s">
        <v>437</v>
      </c>
      <c r="J61" s="82"/>
      <c r="K61" s="68"/>
      <c r="L61" s="86" t="s">
        <v>333</v>
      </c>
      <c r="M61" s="82"/>
      <c r="N61" s="68"/>
      <c r="O61" s="86" t="s">
        <v>438</v>
      </c>
      <c r="P61" s="82"/>
      <c r="Q61" s="68"/>
      <c r="R61" s="86" t="s">
        <v>439</v>
      </c>
      <c r="S61" s="989"/>
      <c r="T61" s="72"/>
    </row>
    <row r="62" spans="1:20" ht="14.15" customHeight="1" thickBot="1">
      <c r="A62" s="65"/>
      <c r="B62" s="65"/>
      <c r="C62" s="555"/>
      <c r="D62" s="955" t="s">
        <v>440</v>
      </c>
      <c r="E62" s="1380" t="str">
        <f>IF(基本入力!E39&gt;0,基本入力!E39,"")</f>
        <v/>
      </c>
      <c r="F62" s="72"/>
      <c r="G62" s="170"/>
      <c r="H62" s="171" t="s">
        <v>123</v>
      </c>
      <c r="I62" s="172" t="s">
        <v>124</v>
      </c>
      <c r="J62" s="172" t="s">
        <v>125</v>
      </c>
      <c r="K62" s="171" t="s">
        <v>123</v>
      </c>
      <c r="L62" s="172" t="s">
        <v>124</v>
      </c>
      <c r="M62" s="172" t="s">
        <v>125</v>
      </c>
      <c r="N62" s="171" t="s">
        <v>123</v>
      </c>
      <c r="O62" s="172" t="s">
        <v>124</v>
      </c>
      <c r="P62" s="172" t="s">
        <v>125</v>
      </c>
      <c r="Q62" s="171" t="s">
        <v>123</v>
      </c>
      <c r="R62" s="172" t="s">
        <v>124</v>
      </c>
      <c r="S62" s="173" t="s">
        <v>125</v>
      </c>
      <c r="T62" s="72"/>
    </row>
    <row r="63" spans="1:20" ht="14.15" customHeight="1" thickTop="1">
      <c r="A63" s="65"/>
      <c r="B63" s="65"/>
      <c r="C63" s="82"/>
      <c r="D63" s="82"/>
      <c r="E63" s="956"/>
      <c r="F63" s="161">
        <v>1</v>
      </c>
      <c r="G63" s="553" t="s">
        <v>592</v>
      </c>
      <c r="H63" s="1385">
        <v>85</v>
      </c>
      <c r="I63" s="1386">
        <v>13</v>
      </c>
      <c r="J63" s="1391">
        <v>2</v>
      </c>
      <c r="K63" s="1385">
        <v>34</v>
      </c>
      <c r="L63" s="1386">
        <v>29</v>
      </c>
      <c r="M63" s="1396">
        <v>37</v>
      </c>
      <c r="N63" s="1401">
        <v>24</v>
      </c>
      <c r="O63" s="1386">
        <v>23</v>
      </c>
      <c r="P63" s="1391">
        <v>53</v>
      </c>
      <c r="Q63" s="1385">
        <v>84</v>
      </c>
      <c r="R63" s="1386">
        <v>12</v>
      </c>
      <c r="S63" s="1396">
        <v>4</v>
      </c>
      <c r="T63" s="72"/>
    </row>
    <row r="64" spans="1:20" ht="14.15" customHeight="1">
      <c r="A64" s="65"/>
      <c r="B64" s="65"/>
      <c r="C64" s="161"/>
      <c r="D64" s="161"/>
      <c r="E64" s="957"/>
      <c r="F64" s="161">
        <v>2</v>
      </c>
      <c r="G64" s="552" t="s">
        <v>593</v>
      </c>
      <c r="H64" s="1381">
        <v>60</v>
      </c>
      <c r="I64" s="1387">
        <v>37</v>
      </c>
      <c r="J64" s="1392">
        <v>3</v>
      </c>
      <c r="K64" s="1381">
        <v>17</v>
      </c>
      <c r="L64" s="1387">
        <v>52</v>
      </c>
      <c r="M64" s="1397">
        <v>31</v>
      </c>
      <c r="N64" s="1402">
        <v>11</v>
      </c>
      <c r="O64" s="1387">
        <v>50</v>
      </c>
      <c r="P64" s="1392">
        <v>39</v>
      </c>
      <c r="Q64" s="1381">
        <v>59</v>
      </c>
      <c r="R64" s="1387">
        <v>37</v>
      </c>
      <c r="S64" s="1397">
        <v>4</v>
      </c>
      <c r="T64" s="72"/>
    </row>
    <row r="65" spans="1:20" ht="14.15" customHeight="1">
      <c r="A65" s="65"/>
      <c r="B65" s="65"/>
      <c r="C65" s="161"/>
      <c r="D65" s="161"/>
      <c r="E65" s="161"/>
      <c r="F65" s="169">
        <v>3</v>
      </c>
      <c r="G65" s="174" t="s">
        <v>594</v>
      </c>
      <c r="H65" s="1382">
        <v>48</v>
      </c>
      <c r="I65" s="1388">
        <v>44</v>
      </c>
      <c r="J65" s="1393">
        <v>8</v>
      </c>
      <c r="K65" s="1382">
        <v>13</v>
      </c>
      <c r="L65" s="1388">
        <v>62</v>
      </c>
      <c r="M65" s="1398">
        <v>25</v>
      </c>
      <c r="N65" s="1403">
        <v>9</v>
      </c>
      <c r="O65" s="1388">
        <v>53</v>
      </c>
      <c r="P65" s="1393">
        <v>38</v>
      </c>
      <c r="Q65" s="1382">
        <v>48</v>
      </c>
      <c r="R65" s="1388">
        <v>44</v>
      </c>
      <c r="S65" s="1398">
        <v>8</v>
      </c>
      <c r="T65" s="72"/>
    </row>
    <row r="66" spans="1:20" ht="14.15" customHeight="1">
      <c r="A66" s="65"/>
      <c r="B66" s="65"/>
      <c r="C66" s="65"/>
      <c r="D66" s="65"/>
      <c r="E66" s="65"/>
      <c r="F66" s="169">
        <v>4</v>
      </c>
      <c r="G66" s="174" t="s">
        <v>595</v>
      </c>
      <c r="H66" s="1382">
        <v>26</v>
      </c>
      <c r="I66" s="1388">
        <v>56</v>
      </c>
      <c r="J66" s="1393">
        <v>18</v>
      </c>
      <c r="K66" s="1382">
        <v>3</v>
      </c>
      <c r="L66" s="1388">
        <v>50</v>
      </c>
      <c r="M66" s="1398">
        <v>47</v>
      </c>
      <c r="N66" s="1403">
        <v>2</v>
      </c>
      <c r="O66" s="1388">
        <v>35</v>
      </c>
      <c r="P66" s="1393">
        <v>63</v>
      </c>
      <c r="Q66" s="1382">
        <v>24</v>
      </c>
      <c r="R66" s="1388">
        <v>54</v>
      </c>
      <c r="S66" s="1398">
        <v>22</v>
      </c>
      <c r="T66" s="72"/>
    </row>
    <row r="67" spans="1:20" ht="14.15" customHeight="1">
      <c r="A67" s="65"/>
      <c r="B67" s="2174" t="s">
        <v>759</v>
      </c>
      <c r="C67" s="2174"/>
      <c r="D67" s="2174"/>
      <c r="E67" s="2174"/>
      <c r="F67" s="169">
        <v>5</v>
      </c>
      <c r="G67" s="87" t="s">
        <v>596</v>
      </c>
      <c r="H67" s="1382">
        <v>64</v>
      </c>
      <c r="I67" s="1388">
        <v>34</v>
      </c>
      <c r="J67" s="1393">
        <v>2</v>
      </c>
      <c r="K67" s="1382">
        <v>27</v>
      </c>
      <c r="L67" s="1388">
        <v>65</v>
      </c>
      <c r="M67" s="1398">
        <v>8</v>
      </c>
      <c r="N67" s="1403">
        <v>18</v>
      </c>
      <c r="O67" s="1388">
        <v>67</v>
      </c>
      <c r="P67" s="1393">
        <v>15</v>
      </c>
      <c r="Q67" s="1382">
        <v>64</v>
      </c>
      <c r="R67" s="1388">
        <v>34</v>
      </c>
      <c r="S67" s="1398">
        <v>2</v>
      </c>
      <c r="T67" s="72"/>
    </row>
    <row r="68" spans="1:20" ht="14.15" customHeight="1" thickBot="1">
      <c r="A68" s="65"/>
      <c r="B68" s="2175"/>
      <c r="C68" s="2175"/>
      <c r="D68" s="2175"/>
      <c r="E68" s="2175"/>
      <c r="F68" s="169">
        <v>6</v>
      </c>
      <c r="G68" s="87" t="s">
        <v>597</v>
      </c>
      <c r="H68" s="1382">
        <v>53</v>
      </c>
      <c r="I68" s="1388">
        <v>41</v>
      </c>
      <c r="J68" s="1393">
        <v>6</v>
      </c>
      <c r="K68" s="1382">
        <v>14</v>
      </c>
      <c r="L68" s="1388">
        <v>54</v>
      </c>
      <c r="M68" s="1398">
        <v>32</v>
      </c>
      <c r="N68" s="1403">
        <v>10</v>
      </c>
      <c r="O68" s="1388">
        <v>49</v>
      </c>
      <c r="P68" s="1393">
        <v>41</v>
      </c>
      <c r="Q68" s="1382">
        <v>52</v>
      </c>
      <c r="R68" s="1388">
        <v>40</v>
      </c>
      <c r="S68" s="1398">
        <v>8</v>
      </c>
      <c r="T68" s="72"/>
    </row>
    <row r="69" spans="1:20" ht="14.15" customHeight="1" thickTop="1" thickBot="1">
      <c r="A69" s="65"/>
      <c r="B69" s="89"/>
      <c r="C69" s="90"/>
      <c r="D69" s="91" t="s">
        <v>111</v>
      </c>
      <c r="E69" s="92" t="s">
        <v>114</v>
      </c>
      <c r="F69" s="161">
        <v>7</v>
      </c>
      <c r="G69" s="551" t="s">
        <v>531</v>
      </c>
      <c r="H69" s="1383">
        <v>46</v>
      </c>
      <c r="I69" s="1389">
        <v>47</v>
      </c>
      <c r="J69" s="1394">
        <v>7</v>
      </c>
      <c r="K69" s="1383">
        <v>13</v>
      </c>
      <c r="L69" s="1389">
        <v>62</v>
      </c>
      <c r="M69" s="1399">
        <v>25</v>
      </c>
      <c r="N69" s="1404">
        <v>8</v>
      </c>
      <c r="O69" s="1389">
        <v>53</v>
      </c>
      <c r="P69" s="1394">
        <v>39</v>
      </c>
      <c r="Q69" s="1383">
        <v>46</v>
      </c>
      <c r="R69" s="1389">
        <v>46</v>
      </c>
      <c r="S69" s="1399">
        <v>8</v>
      </c>
      <c r="T69" s="72"/>
    </row>
    <row r="70" spans="1:20" ht="14.15" customHeight="1" thickTop="1">
      <c r="A70" s="65"/>
      <c r="B70" s="93" t="s">
        <v>761</v>
      </c>
      <c r="C70" s="94"/>
      <c r="D70" s="95">
        <v>700</v>
      </c>
      <c r="E70" s="96">
        <v>190</v>
      </c>
      <c r="F70" s="65">
        <v>8</v>
      </c>
      <c r="G70" s="552" t="s">
        <v>441</v>
      </c>
      <c r="H70" s="1381">
        <v>41</v>
      </c>
      <c r="I70" s="1387">
        <v>53</v>
      </c>
      <c r="J70" s="1392">
        <v>6</v>
      </c>
      <c r="K70" s="1381">
        <v>12</v>
      </c>
      <c r="L70" s="1387">
        <v>65</v>
      </c>
      <c r="M70" s="1397">
        <v>23</v>
      </c>
      <c r="N70" s="1402">
        <v>5</v>
      </c>
      <c r="O70" s="1387">
        <v>57</v>
      </c>
      <c r="P70" s="1392">
        <v>38</v>
      </c>
      <c r="Q70" s="1381">
        <v>40</v>
      </c>
      <c r="R70" s="1387">
        <v>53</v>
      </c>
      <c r="S70" s="1397">
        <v>7</v>
      </c>
      <c r="T70" s="72"/>
    </row>
    <row r="71" spans="1:20" ht="14.15" customHeight="1">
      <c r="A71" s="65"/>
      <c r="B71" s="332" t="s">
        <v>762</v>
      </c>
      <c r="C71" s="333"/>
      <c r="D71" s="97">
        <v>580</v>
      </c>
      <c r="E71" s="98">
        <v>150</v>
      </c>
      <c r="F71" s="65">
        <v>9</v>
      </c>
      <c r="G71" s="174" t="s">
        <v>442</v>
      </c>
      <c r="H71" s="1382">
        <v>34</v>
      </c>
      <c r="I71" s="1388">
        <v>54</v>
      </c>
      <c r="J71" s="1393">
        <v>12</v>
      </c>
      <c r="K71" s="1382">
        <v>7</v>
      </c>
      <c r="L71" s="1388">
        <v>60</v>
      </c>
      <c r="M71" s="1398">
        <v>33</v>
      </c>
      <c r="N71" s="1403">
        <v>3</v>
      </c>
      <c r="O71" s="1388">
        <v>41</v>
      </c>
      <c r="P71" s="1393">
        <v>56</v>
      </c>
      <c r="Q71" s="1382">
        <v>33</v>
      </c>
      <c r="R71" s="1388">
        <v>54</v>
      </c>
      <c r="S71" s="1398">
        <v>13</v>
      </c>
      <c r="T71" s="72"/>
    </row>
    <row r="72" spans="1:20" ht="14.15" customHeight="1" thickBot="1">
      <c r="A72" s="65"/>
      <c r="B72" s="99" t="s">
        <v>763</v>
      </c>
      <c r="C72" s="100"/>
      <c r="D72" s="101">
        <v>440</v>
      </c>
      <c r="E72" s="102">
        <v>120</v>
      </c>
      <c r="F72" s="65">
        <v>10</v>
      </c>
      <c r="G72" s="87" t="s">
        <v>443</v>
      </c>
      <c r="H72" s="1382">
        <v>56</v>
      </c>
      <c r="I72" s="1388">
        <v>40</v>
      </c>
      <c r="J72" s="1393">
        <v>4</v>
      </c>
      <c r="K72" s="1382">
        <v>17</v>
      </c>
      <c r="L72" s="1388">
        <v>64</v>
      </c>
      <c r="M72" s="1398">
        <v>19</v>
      </c>
      <c r="N72" s="1403">
        <v>11</v>
      </c>
      <c r="O72" s="1388">
        <v>53</v>
      </c>
      <c r="P72" s="1393">
        <v>36</v>
      </c>
      <c r="Q72" s="1382">
        <v>56</v>
      </c>
      <c r="R72" s="1388">
        <v>39</v>
      </c>
      <c r="S72" s="1398">
        <v>5</v>
      </c>
      <c r="T72" s="72"/>
    </row>
    <row r="73" spans="1:20" ht="14.15" customHeight="1" thickTop="1">
      <c r="A73" s="65"/>
      <c r="B73" s="65"/>
      <c r="C73" s="65"/>
      <c r="D73" s="65"/>
      <c r="E73" s="65"/>
      <c r="F73" s="65">
        <v>11</v>
      </c>
      <c r="G73" s="87" t="s">
        <v>444</v>
      </c>
      <c r="H73" s="1382">
        <v>25</v>
      </c>
      <c r="I73" s="1388">
        <v>62</v>
      </c>
      <c r="J73" s="1393">
        <v>13</v>
      </c>
      <c r="K73" s="1382">
        <v>6</v>
      </c>
      <c r="L73" s="1388">
        <v>61</v>
      </c>
      <c r="M73" s="1398">
        <v>33</v>
      </c>
      <c r="N73" s="1403">
        <v>2</v>
      </c>
      <c r="O73" s="1388">
        <v>43</v>
      </c>
      <c r="P73" s="1393">
        <v>55</v>
      </c>
      <c r="Q73" s="1382">
        <v>25</v>
      </c>
      <c r="R73" s="1388">
        <v>62</v>
      </c>
      <c r="S73" s="1398">
        <v>13</v>
      </c>
      <c r="T73" s="72"/>
    </row>
    <row r="74" spans="1:20" ht="14.15" customHeight="1">
      <c r="A74" s="65"/>
      <c r="B74" s="2176" t="s">
        <v>1011</v>
      </c>
      <c r="C74" s="2177"/>
      <c r="D74" s="2177"/>
      <c r="E74" s="2177"/>
      <c r="F74" s="65">
        <v>12</v>
      </c>
      <c r="G74" s="87" t="s">
        <v>445</v>
      </c>
      <c r="H74" s="1382">
        <v>29</v>
      </c>
      <c r="I74" s="1388">
        <v>58</v>
      </c>
      <c r="J74" s="1393">
        <v>13</v>
      </c>
      <c r="K74" s="1382">
        <v>7</v>
      </c>
      <c r="L74" s="1388">
        <v>59</v>
      </c>
      <c r="M74" s="1398">
        <v>34</v>
      </c>
      <c r="N74" s="1403">
        <v>2</v>
      </c>
      <c r="O74" s="1388">
        <v>39</v>
      </c>
      <c r="P74" s="1393">
        <v>59</v>
      </c>
      <c r="Q74" s="1382">
        <v>29</v>
      </c>
      <c r="R74" s="1388">
        <v>58</v>
      </c>
      <c r="S74" s="1398">
        <v>13</v>
      </c>
      <c r="T74" s="72"/>
    </row>
    <row r="75" spans="1:20" ht="14.15" customHeight="1" thickBot="1">
      <c r="A75" s="65"/>
      <c r="B75" s="2178"/>
      <c r="C75" s="2178"/>
      <c r="D75" s="2178"/>
      <c r="E75" s="2178"/>
      <c r="F75" s="65">
        <v>13</v>
      </c>
      <c r="G75" s="87" t="s">
        <v>446</v>
      </c>
      <c r="H75" s="1382">
        <v>23</v>
      </c>
      <c r="I75" s="1388">
        <v>61</v>
      </c>
      <c r="J75" s="1393">
        <v>16</v>
      </c>
      <c r="K75" s="1382">
        <v>5</v>
      </c>
      <c r="L75" s="1388">
        <v>57</v>
      </c>
      <c r="M75" s="1398">
        <v>38</v>
      </c>
      <c r="N75" s="1403">
        <v>1</v>
      </c>
      <c r="O75" s="1388">
        <v>37</v>
      </c>
      <c r="P75" s="1393">
        <v>62</v>
      </c>
      <c r="Q75" s="1382">
        <v>23</v>
      </c>
      <c r="R75" s="1388">
        <v>61</v>
      </c>
      <c r="S75" s="1398">
        <v>16</v>
      </c>
      <c r="T75" s="72"/>
    </row>
    <row r="76" spans="1:20" ht="14.5" thickTop="1">
      <c r="B76" s="334" t="s">
        <v>814</v>
      </c>
      <c r="C76" s="335"/>
      <c r="D76" s="336" t="s">
        <v>816</v>
      </c>
      <c r="E76" s="1521">
        <v>0.83199999999999996</v>
      </c>
      <c r="F76" s="65">
        <v>14</v>
      </c>
      <c r="G76" s="87" t="s">
        <v>447</v>
      </c>
      <c r="H76" s="1382">
        <v>37</v>
      </c>
      <c r="I76" s="1388">
        <v>52</v>
      </c>
      <c r="J76" s="1393">
        <v>11</v>
      </c>
      <c r="K76" s="1382">
        <v>10</v>
      </c>
      <c r="L76" s="1388">
        <v>58</v>
      </c>
      <c r="M76" s="1398">
        <v>32</v>
      </c>
      <c r="N76" s="1403">
        <v>4</v>
      </c>
      <c r="O76" s="1388">
        <v>40</v>
      </c>
      <c r="P76" s="1393">
        <v>56</v>
      </c>
      <c r="Q76" s="1382">
        <v>37</v>
      </c>
      <c r="R76" s="1388">
        <v>52</v>
      </c>
      <c r="S76" s="1398">
        <v>11</v>
      </c>
      <c r="T76" s="72"/>
    </row>
    <row r="77" spans="1:20" ht="14.5" thickBot="1">
      <c r="B77" s="99" t="s">
        <v>815</v>
      </c>
      <c r="C77" s="100"/>
      <c r="D77" s="337" t="s">
        <v>817</v>
      </c>
      <c r="E77" s="1522">
        <v>0.16800000000000001</v>
      </c>
      <c r="F77" s="65">
        <v>15</v>
      </c>
      <c r="G77" s="87" t="s">
        <v>448</v>
      </c>
      <c r="H77" s="1382">
        <v>74</v>
      </c>
      <c r="I77" s="1388">
        <v>21</v>
      </c>
      <c r="J77" s="1393">
        <v>5</v>
      </c>
      <c r="K77" s="1382">
        <v>12</v>
      </c>
      <c r="L77" s="1388">
        <v>53</v>
      </c>
      <c r="M77" s="1398">
        <v>35</v>
      </c>
      <c r="N77" s="1403">
        <v>9</v>
      </c>
      <c r="O77" s="1388">
        <v>44</v>
      </c>
      <c r="P77" s="1393">
        <v>47</v>
      </c>
      <c r="Q77" s="1382">
        <v>73</v>
      </c>
      <c r="R77" s="1388">
        <v>21</v>
      </c>
      <c r="S77" s="1398">
        <v>6</v>
      </c>
      <c r="T77" s="72"/>
    </row>
    <row r="78" spans="1:20" ht="14.5" thickTop="1">
      <c r="F78" s="65">
        <v>16</v>
      </c>
      <c r="G78" s="87" t="s">
        <v>598</v>
      </c>
      <c r="H78" s="1382">
        <v>62</v>
      </c>
      <c r="I78" s="1388">
        <v>33</v>
      </c>
      <c r="J78" s="1393">
        <v>5</v>
      </c>
      <c r="K78" s="1382">
        <v>10</v>
      </c>
      <c r="L78" s="1388">
        <v>48</v>
      </c>
      <c r="M78" s="1398">
        <v>42</v>
      </c>
      <c r="N78" s="1403">
        <v>7</v>
      </c>
      <c r="O78" s="1388">
        <v>45</v>
      </c>
      <c r="P78" s="1393">
        <v>48</v>
      </c>
      <c r="Q78" s="1382">
        <v>61</v>
      </c>
      <c r="R78" s="1388">
        <v>32</v>
      </c>
      <c r="S78" s="1398">
        <v>7</v>
      </c>
      <c r="T78" s="72"/>
    </row>
    <row r="79" spans="1:20" ht="17" thickBot="1">
      <c r="B79" s="88" t="s">
        <v>1012</v>
      </c>
      <c r="D79" s="65"/>
      <c r="E79" s="65"/>
      <c r="F79" s="65">
        <v>17</v>
      </c>
      <c r="G79" s="87" t="s">
        <v>449</v>
      </c>
      <c r="H79" s="1382">
        <v>36</v>
      </c>
      <c r="I79" s="1388">
        <v>56</v>
      </c>
      <c r="J79" s="1393">
        <v>8</v>
      </c>
      <c r="K79" s="1382">
        <v>10</v>
      </c>
      <c r="L79" s="1388">
        <v>66</v>
      </c>
      <c r="M79" s="1398">
        <v>24</v>
      </c>
      <c r="N79" s="1403">
        <v>4</v>
      </c>
      <c r="O79" s="1388">
        <v>55</v>
      </c>
      <c r="P79" s="1393">
        <v>41</v>
      </c>
      <c r="Q79" s="1382">
        <v>36</v>
      </c>
      <c r="R79" s="1388">
        <v>56</v>
      </c>
      <c r="S79" s="1398">
        <v>8</v>
      </c>
      <c r="T79" s="65"/>
    </row>
    <row r="80" spans="1:20" ht="14.5" thickTop="1">
      <c r="B80" s="334" t="s">
        <v>818</v>
      </c>
      <c r="C80" s="335"/>
      <c r="D80" s="336" t="s">
        <v>820</v>
      </c>
      <c r="E80" s="338">
        <v>0.40589999999999998</v>
      </c>
      <c r="F80" s="65">
        <v>18</v>
      </c>
      <c r="G80" s="554" t="s">
        <v>599</v>
      </c>
      <c r="H80" s="1383">
        <v>29</v>
      </c>
      <c r="I80" s="1389">
        <v>61</v>
      </c>
      <c r="J80" s="1394">
        <v>10</v>
      </c>
      <c r="K80" s="1383">
        <v>8</v>
      </c>
      <c r="L80" s="1389">
        <v>67</v>
      </c>
      <c r="M80" s="1399">
        <v>25</v>
      </c>
      <c r="N80" s="1404">
        <v>4</v>
      </c>
      <c r="O80" s="1389">
        <v>54</v>
      </c>
      <c r="P80" s="1394">
        <v>42</v>
      </c>
      <c r="Q80" s="1383">
        <v>29</v>
      </c>
      <c r="R80" s="1389">
        <v>61</v>
      </c>
      <c r="S80" s="1399">
        <v>10</v>
      </c>
    </row>
    <row r="81" spans="2:19" ht="14.5" thickBot="1">
      <c r="B81" s="99" t="s">
        <v>819</v>
      </c>
      <c r="C81" s="100"/>
      <c r="D81" s="337" t="s">
        <v>821</v>
      </c>
      <c r="E81" s="339">
        <v>0.59409999999999996</v>
      </c>
      <c r="F81" s="65">
        <v>19</v>
      </c>
      <c r="G81" s="72" t="s">
        <v>600</v>
      </c>
      <c r="H81" s="1381">
        <v>68</v>
      </c>
      <c r="I81" s="1387">
        <v>29</v>
      </c>
      <c r="J81" s="1392">
        <v>3</v>
      </c>
      <c r="K81" s="1381">
        <v>28</v>
      </c>
      <c r="L81" s="1387">
        <v>54</v>
      </c>
      <c r="M81" s="1397">
        <v>18</v>
      </c>
      <c r="N81" s="1402">
        <v>18</v>
      </c>
      <c r="O81" s="1387">
        <v>51</v>
      </c>
      <c r="P81" s="1392">
        <v>31</v>
      </c>
      <c r="Q81" s="1381">
        <v>67</v>
      </c>
      <c r="R81" s="1387">
        <v>29</v>
      </c>
      <c r="S81" s="1397">
        <v>4</v>
      </c>
    </row>
    <row r="82" spans="2:19" ht="14.5" thickTop="1">
      <c r="F82" s="65">
        <v>20</v>
      </c>
      <c r="G82" s="554" t="s">
        <v>601</v>
      </c>
      <c r="H82" s="1383">
        <v>80</v>
      </c>
      <c r="I82" s="1389">
        <v>18</v>
      </c>
      <c r="J82" s="1394">
        <v>2</v>
      </c>
      <c r="K82" s="1383">
        <v>30</v>
      </c>
      <c r="L82" s="1389">
        <v>34</v>
      </c>
      <c r="M82" s="1399">
        <v>36</v>
      </c>
      <c r="N82" s="1404">
        <v>23</v>
      </c>
      <c r="O82" s="1389">
        <v>37</v>
      </c>
      <c r="P82" s="1394">
        <v>40</v>
      </c>
      <c r="Q82" s="1383">
        <v>77</v>
      </c>
      <c r="R82" s="1389">
        <v>17</v>
      </c>
      <c r="S82" s="1399">
        <v>6</v>
      </c>
    </row>
    <row r="83" spans="2:19" ht="17" thickBot="1">
      <c r="B83" s="724" t="s">
        <v>1006</v>
      </c>
      <c r="C83" s="725"/>
      <c r="D83" s="726"/>
      <c r="E83" s="726"/>
      <c r="F83" s="65">
        <v>21</v>
      </c>
      <c r="G83" s="72" t="s">
        <v>602</v>
      </c>
      <c r="H83" s="1381">
        <v>50</v>
      </c>
      <c r="I83" s="1387">
        <v>43</v>
      </c>
      <c r="J83" s="1392">
        <v>7</v>
      </c>
      <c r="K83" s="1381">
        <v>13</v>
      </c>
      <c r="L83" s="1387">
        <v>60</v>
      </c>
      <c r="M83" s="1397">
        <v>27</v>
      </c>
      <c r="N83" s="1402">
        <v>5</v>
      </c>
      <c r="O83" s="1387">
        <v>45</v>
      </c>
      <c r="P83" s="1392">
        <v>50</v>
      </c>
      <c r="Q83" s="1381">
        <v>50</v>
      </c>
      <c r="R83" s="1387">
        <v>43</v>
      </c>
      <c r="S83" s="1397">
        <v>7</v>
      </c>
    </row>
    <row r="84" spans="2:19" ht="14.5" thickTop="1">
      <c r="B84" s="727" t="s">
        <v>891</v>
      </c>
      <c r="C84" s="728"/>
      <c r="D84" s="1489">
        <v>3.2000000000000002E-3</v>
      </c>
      <c r="E84" s="729">
        <v>0</v>
      </c>
      <c r="F84" s="65">
        <v>22</v>
      </c>
      <c r="G84" s="87" t="s">
        <v>603</v>
      </c>
      <c r="H84" s="1382">
        <v>39</v>
      </c>
      <c r="I84" s="1388">
        <v>51</v>
      </c>
      <c r="J84" s="1393">
        <v>10</v>
      </c>
      <c r="K84" s="1382">
        <v>10</v>
      </c>
      <c r="L84" s="1388">
        <v>62</v>
      </c>
      <c r="M84" s="1398">
        <v>28</v>
      </c>
      <c r="N84" s="1403">
        <v>4</v>
      </c>
      <c r="O84" s="1388">
        <v>43</v>
      </c>
      <c r="P84" s="1393">
        <v>53</v>
      </c>
      <c r="Q84" s="1382">
        <v>39</v>
      </c>
      <c r="R84" s="1388">
        <v>51</v>
      </c>
      <c r="S84" s="1398">
        <v>10</v>
      </c>
    </row>
    <row r="85" spans="2:19">
      <c r="B85" s="730" t="s">
        <v>892</v>
      </c>
      <c r="C85" s="731"/>
      <c r="D85" s="1490">
        <v>3.0999999999999999E-3</v>
      </c>
      <c r="E85" s="729">
        <v>1</v>
      </c>
      <c r="F85" s="65">
        <v>23</v>
      </c>
      <c r="G85" s="554" t="s">
        <v>604</v>
      </c>
      <c r="H85" s="1383">
        <v>35</v>
      </c>
      <c r="I85" s="1389">
        <v>54</v>
      </c>
      <c r="J85" s="1394">
        <v>11</v>
      </c>
      <c r="K85" s="1383">
        <v>8</v>
      </c>
      <c r="L85" s="1389">
        <v>58</v>
      </c>
      <c r="M85" s="1399">
        <v>34</v>
      </c>
      <c r="N85" s="1404">
        <v>3</v>
      </c>
      <c r="O85" s="1389">
        <v>42</v>
      </c>
      <c r="P85" s="1394">
        <v>55</v>
      </c>
      <c r="Q85" s="1383">
        <v>36</v>
      </c>
      <c r="R85" s="1389">
        <v>53</v>
      </c>
      <c r="S85" s="1399">
        <v>11</v>
      </c>
    </row>
    <row r="86" spans="2:19" ht="14.5" thickBot="1">
      <c r="B86" s="732" t="s">
        <v>1040</v>
      </c>
      <c r="C86" s="733"/>
      <c r="D86" s="1491">
        <f>IF(SUM(基本入力!C13:C16)=0,係数!D85,ROUND(((基本入力!C14+基本入力!C16+IF(基本入力!C54=1,基本入力!C56+基本入力!C57,0))*D85+(基本入力!C13+基本入力!C15+IF(基本入力!C54=0,基本入力!C56+基本入力!C57,0))*D84)/基本入力!C60,4))</f>
        <v>3.0999999999999999E-3</v>
      </c>
      <c r="E86" s="729">
        <v>2</v>
      </c>
      <c r="F86" s="65">
        <v>24</v>
      </c>
      <c r="G86" s="72" t="s">
        <v>605</v>
      </c>
      <c r="H86" s="1381">
        <v>46</v>
      </c>
      <c r="I86" s="1387">
        <v>44</v>
      </c>
      <c r="J86" s="1392">
        <v>10</v>
      </c>
      <c r="K86" s="1381">
        <v>12</v>
      </c>
      <c r="L86" s="1387">
        <v>54</v>
      </c>
      <c r="M86" s="1397">
        <v>34</v>
      </c>
      <c r="N86" s="1402">
        <v>7</v>
      </c>
      <c r="O86" s="1387">
        <v>42</v>
      </c>
      <c r="P86" s="1392">
        <v>51</v>
      </c>
      <c r="Q86" s="1381">
        <v>46</v>
      </c>
      <c r="R86" s="1387">
        <v>44</v>
      </c>
      <c r="S86" s="1397">
        <v>10</v>
      </c>
    </row>
    <row r="87" spans="2:19" ht="14.5" thickTop="1">
      <c r="F87" s="65">
        <v>25</v>
      </c>
      <c r="G87" s="87" t="s">
        <v>606</v>
      </c>
      <c r="H87" s="1382">
        <v>52</v>
      </c>
      <c r="I87" s="1388">
        <v>42</v>
      </c>
      <c r="J87" s="1393">
        <v>6</v>
      </c>
      <c r="K87" s="1382">
        <v>16</v>
      </c>
      <c r="L87" s="1388">
        <v>61</v>
      </c>
      <c r="M87" s="1398">
        <v>23</v>
      </c>
      <c r="N87" s="1403">
        <v>7</v>
      </c>
      <c r="O87" s="1388">
        <v>52</v>
      </c>
      <c r="P87" s="1393">
        <v>41</v>
      </c>
      <c r="Q87" s="1382">
        <v>52</v>
      </c>
      <c r="R87" s="1388">
        <v>42</v>
      </c>
      <c r="S87" s="1398">
        <v>6</v>
      </c>
    </row>
    <row r="88" spans="2:19">
      <c r="F88" s="65">
        <v>26</v>
      </c>
      <c r="G88" s="87" t="s">
        <v>607</v>
      </c>
      <c r="H88" s="1382">
        <v>45</v>
      </c>
      <c r="I88" s="1388">
        <v>47</v>
      </c>
      <c r="J88" s="1393">
        <v>8</v>
      </c>
      <c r="K88" s="1382">
        <v>13</v>
      </c>
      <c r="L88" s="1388">
        <v>57</v>
      </c>
      <c r="M88" s="1398">
        <v>30</v>
      </c>
      <c r="N88" s="1403">
        <v>6</v>
      </c>
      <c r="O88" s="1388">
        <v>44</v>
      </c>
      <c r="P88" s="1393">
        <v>50</v>
      </c>
      <c r="Q88" s="1382">
        <v>45</v>
      </c>
      <c r="R88" s="1388">
        <v>47</v>
      </c>
      <c r="S88" s="1398">
        <v>8</v>
      </c>
    </row>
    <row r="89" spans="2:19">
      <c r="F89" s="65">
        <v>27</v>
      </c>
      <c r="G89" s="87" t="s">
        <v>608</v>
      </c>
      <c r="H89" s="1382">
        <v>47</v>
      </c>
      <c r="I89" s="1388">
        <v>43</v>
      </c>
      <c r="J89" s="1393">
        <v>10</v>
      </c>
      <c r="K89" s="1382">
        <v>12</v>
      </c>
      <c r="L89" s="1388">
        <v>53</v>
      </c>
      <c r="M89" s="1398">
        <v>35</v>
      </c>
      <c r="N89" s="1403">
        <v>6</v>
      </c>
      <c r="O89" s="1388">
        <v>39</v>
      </c>
      <c r="P89" s="1393">
        <v>55</v>
      </c>
      <c r="Q89" s="1382">
        <v>45</v>
      </c>
      <c r="R89" s="1388">
        <v>41</v>
      </c>
      <c r="S89" s="1398">
        <v>14</v>
      </c>
    </row>
    <row r="90" spans="2:19">
      <c r="F90" s="65">
        <v>28</v>
      </c>
      <c r="G90" s="87" t="s">
        <v>609</v>
      </c>
      <c r="H90" s="1382">
        <v>29</v>
      </c>
      <c r="I90" s="1388">
        <v>60</v>
      </c>
      <c r="J90" s="1393">
        <v>11</v>
      </c>
      <c r="K90" s="1382">
        <v>7</v>
      </c>
      <c r="L90" s="1388">
        <v>63</v>
      </c>
      <c r="M90" s="1398">
        <v>30</v>
      </c>
      <c r="N90" s="1403">
        <v>3</v>
      </c>
      <c r="O90" s="1388">
        <v>48</v>
      </c>
      <c r="P90" s="1393">
        <v>49</v>
      </c>
      <c r="Q90" s="1382">
        <v>28</v>
      </c>
      <c r="R90" s="1388">
        <v>60</v>
      </c>
      <c r="S90" s="1398">
        <v>12</v>
      </c>
    </row>
    <row r="91" spans="2:19">
      <c r="F91" s="65">
        <v>29</v>
      </c>
      <c r="G91" s="87" t="s">
        <v>610</v>
      </c>
      <c r="H91" s="1382">
        <v>38</v>
      </c>
      <c r="I91" s="1388">
        <v>51</v>
      </c>
      <c r="J91" s="1393">
        <v>11</v>
      </c>
      <c r="K91" s="1382">
        <v>8</v>
      </c>
      <c r="L91" s="1388">
        <v>50</v>
      </c>
      <c r="M91" s="1398">
        <v>42</v>
      </c>
      <c r="N91" s="1403">
        <v>4</v>
      </c>
      <c r="O91" s="1388">
        <v>40</v>
      </c>
      <c r="P91" s="1393">
        <v>56</v>
      </c>
      <c r="Q91" s="1382">
        <v>38</v>
      </c>
      <c r="R91" s="1388">
        <v>50</v>
      </c>
      <c r="S91" s="1398">
        <v>12</v>
      </c>
    </row>
    <row r="92" spans="2:19">
      <c r="F92" s="65">
        <v>30</v>
      </c>
      <c r="G92" s="554" t="s">
        <v>611</v>
      </c>
      <c r="H92" s="1383">
        <v>80</v>
      </c>
      <c r="I92" s="1389">
        <v>18</v>
      </c>
      <c r="J92" s="1394">
        <v>2</v>
      </c>
      <c r="K92" s="1383">
        <v>14</v>
      </c>
      <c r="L92" s="1389">
        <v>66</v>
      </c>
      <c r="M92" s="1399">
        <v>20</v>
      </c>
      <c r="N92" s="1404">
        <v>10</v>
      </c>
      <c r="O92" s="1389">
        <v>61</v>
      </c>
      <c r="P92" s="1394">
        <v>29</v>
      </c>
      <c r="Q92" s="1383">
        <v>79</v>
      </c>
      <c r="R92" s="1389">
        <v>19</v>
      </c>
      <c r="S92" s="1399">
        <v>2</v>
      </c>
    </row>
    <row r="93" spans="2:19">
      <c r="F93" s="65">
        <v>31</v>
      </c>
      <c r="G93" s="72" t="s">
        <v>612</v>
      </c>
      <c r="H93" s="1381">
        <v>55</v>
      </c>
      <c r="I93" s="1387">
        <v>39</v>
      </c>
      <c r="J93" s="1392">
        <v>6</v>
      </c>
      <c r="K93" s="1381">
        <v>18</v>
      </c>
      <c r="L93" s="1387">
        <v>60</v>
      </c>
      <c r="M93" s="1397">
        <v>22</v>
      </c>
      <c r="N93" s="1402">
        <v>10</v>
      </c>
      <c r="O93" s="1387">
        <v>51</v>
      </c>
      <c r="P93" s="1392">
        <v>39</v>
      </c>
      <c r="Q93" s="1381">
        <v>55</v>
      </c>
      <c r="R93" s="1387">
        <v>39</v>
      </c>
      <c r="S93" s="1397">
        <v>6</v>
      </c>
    </row>
    <row r="94" spans="2:19">
      <c r="F94" s="65">
        <v>32</v>
      </c>
      <c r="G94" s="87" t="s">
        <v>613</v>
      </c>
      <c r="H94" s="1382">
        <v>35</v>
      </c>
      <c r="I94" s="1388">
        <v>60</v>
      </c>
      <c r="J94" s="1393">
        <v>5</v>
      </c>
      <c r="K94" s="1382">
        <v>12</v>
      </c>
      <c r="L94" s="1388">
        <v>73</v>
      </c>
      <c r="M94" s="1398">
        <v>15</v>
      </c>
      <c r="N94" s="1403">
        <v>4</v>
      </c>
      <c r="O94" s="1388">
        <v>65</v>
      </c>
      <c r="P94" s="1393">
        <v>31</v>
      </c>
      <c r="Q94" s="1382">
        <v>35</v>
      </c>
      <c r="R94" s="1388">
        <v>60</v>
      </c>
      <c r="S94" s="1398">
        <v>5</v>
      </c>
    </row>
    <row r="95" spans="2:19">
      <c r="F95" s="65">
        <v>33</v>
      </c>
      <c r="G95" s="87" t="s">
        <v>614</v>
      </c>
      <c r="H95" s="1382">
        <v>52</v>
      </c>
      <c r="I95" s="1388">
        <v>41</v>
      </c>
      <c r="J95" s="1393">
        <v>7</v>
      </c>
      <c r="K95" s="1382">
        <v>17</v>
      </c>
      <c r="L95" s="1388">
        <v>60</v>
      </c>
      <c r="M95" s="1398">
        <v>23</v>
      </c>
      <c r="N95" s="1403">
        <v>5</v>
      </c>
      <c r="O95" s="1388">
        <v>69</v>
      </c>
      <c r="P95" s="1393">
        <v>26</v>
      </c>
      <c r="Q95" s="1382">
        <v>52</v>
      </c>
      <c r="R95" s="1388">
        <v>41</v>
      </c>
      <c r="S95" s="1398">
        <v>7</v>
      </c>
    </row>
    <row r="96" spans="2:19">
      <c r="F96" s="65">
        <v>34</v>
      </c>
      <c r="G96" s="87" t="s">
        <v>615</v>
      </c>
      <c r="H96" s="1382">
        <v>48</v>
      </c>
      <c r="I96" s="1388">
        <v>44</v>
      </c>
      <c r="J96" s="1393">
        <v>8</v>
      </c>
      <c r="K96" s="1382">
        <v>12</v>
      </c>
      <c r="L96" s="1388">
        <v>53</v>
      </c>
      <c r="M96" s="1398">
        <v>35</v>
      </c>
      <c r="N96" s="1403">
        <v>6</v>
      </c>
      <c r="O96" s="1388">
        <v>42</v>
      </c>
      <c r="P96" s="1393">
        <v>52</v>
      </c>
      <c r="Q96" s="1382">
        <v>47</v>
      </c>
      <c r="R96" s="1388">
        <v>42</v>
      </c>
      <c r="S96" s="1398">
        <v>11</v>
      </c>
    </row>
    <row r="97" spans="6:19">
      <c r="F97" s="65">
        <v>35</v>
      </c>
      <c r="G97" s="554" t="s">
        <v>616</v>
      </c>
      <c r="H97" s="1383">
        <v>42</v>
      </c>
      <c r="I97" s="1389">
        <v>55</v>
      </c>
      <c r="J97" s="1394">
        <v>3</v>
      </c>
      <c r="K97" s="1383">
        <v>18</v>
      </c>
      <c r="L97" s="1389">
        <v>68</v>
      </c>
      <c r="M97" s="1399">
        <v>14</v>
      </c>
      <c r="N97" s="1404">
        <v>6</v>
      </c>
      <c r="O97" s="1389">
        <v>71</v>
      </c>
      <c r="P97" s="1394">
        <v>23</v>
      </c>
      <c r="Q97" s="1383">
        <v>42</v>
      </c>
      <c r="R97" s="1389">
        <v>55</v>
      </c>
      <c r="S97" s="1399">
        <v>3</v>
      </c>
    </row>
    <row r="98" spans="6:19">
      <c r="F98" s="65">
        <v>36</v>
      </c>
      <c r="G98" s="72" t="s">
        <v>617</v>
      </c>
      <c r="H98" s="1381">
        <v>58</v>
      </c>
      <c r="I98" s="1387">
        <v>37</v>
      </c>
      <c r="J98" s="1392">
        <v>5</v>
      </c>
      <c r="K98" s="1381">
        <v>17</v>
      </c>
      <c r="L98" s="1387">
        <v>60</v>
      </c>
      <c r="M98" s="1397">
        <v>23</v>
      </c>
      <c r="N98" s="1402">
        <v>8</v>
      </c>
      <c r="O98" s="1387">
        <v>50</v>
      </c>
      <c r="P98" s="1392">
        <v>42</v>
      </c>
      <c r="Q98" s="1381">
        <v>57</v>
      </c>
      <c r="R98" s="1387">
        <v>37</v>
      </c>
      <c r="S98" s="1397">
        <v>6</v>
      </c>
    </row>
    <row r="99" spans="6:19">
      <c r="F99" s="65">
        <v>37</v>
      </c>
      <c r="G99" s="87" t="s">
        <v>618</v>
      </c>
      <c r="H99" s="1382">
        <v>56</v>
      </c>
      <c r="I99" s="1388">
        <v>41</v>
      </c>
      <c r="J99" s="1393">
        <v>3</v>
      </c>
      <c r="K99" s="1382">
        <v>19</v>
      </c>
      <c r="L99" s="1388">
        <v>69</v>
      </c>
      <c r="M99" s="1398">
        <v>12</v>
      </c>
      <c r="N99" s="1403">
        <v>9</v>
      </c>
      <c r="O99" s="1388">
        <v>65</v>
      </c>
      <c r="P99" s="1393">
        <v>26</v>
      </c>
      <c r="Q99" s="1382">
        <v>24</v>
      </c>
      <c r="R99" s="1388">
        <v>64</v>
      </c>
      <c r="S99" s="1398">
        <v>12</v>
      </c>
    </row>
    <row r="100" spans="6:19">
      <c r="F100" s="65">
        <v>38</v>
      </c>
      <c r="G100" s="87" t="s">
        <v>619</v>
      </c>
      <c r="H100" s="1382">
        <v>56</v>
      </c>
      <c r="I100" s="1388">
        <v>41</v>
      </c>
      <c r="J100" s="1393">
        <v>3</v>
      </c>
      <c r="K100" s="1382">
        <v>21</v>
      </c>
      <c r="L100" s="1388">
        <v>67</v>
      </c>
      <c r="M100" s="1398">
        <v>12</v>
      </c>
      <c r="N100" s="1403">
        <v>11</v>
      </c>
      <c r="O100" s="1388">
        <v>65</v>
      </c>
      <c r="P100" s="1393">
        <v>24</v>
      </c>
      <c r="Q100" s="1382">
        <v>56</v>
      </c>
      <c r="R100" s="1388">
        <v>41</v>
      </c>
      <c r="S100" s="1398">
        <v>3</v>
      </c>
    </row>
    <row r="101" spans="6:19">
      <c r="F101" s="65">
        <v>39</v>
      </c>
      <c r="G101" s="554" t="s">
        <v>620</v>
      </c>
      <c r="H101" s="1383">
        <v>45</v>
      </c>
      <c r="I101" s="1389">
        <v>50</v>
      </c>
      <c r="J101" s="1394">
        <v>5</v>
      </c>
      <c r="K101" s="1383">
        <v>15</v>
      </c>
      <c r="L101" s="1389">
        <v>68</v>
      </c>
      <c r="M101" s="1399">
        <v>17</v>
      </c>
      <c r="N101" s="1404">
        <v>6</v>
      </c>
      <c r="O101" s="1389">
        <v>61</v>
      </c>
      <c r="P101" s="1394">
        <v>33</v>
      </c>
      <c r="Q101" s="1383">
        <v>44</v>
      </c>
      <c r="R101" s="1389">
        <v>50</v>
      </c>
      <c r="S101" s="1399">
        <v>6</v>
      </c>
    </row>
    <row r="102" spans="6:19">
      <c r="F102" s="65">
        <v>40</v>
      </c>
      <c r="G102" s="72" t="s">
        <v>621</v>
      </c>
      <c r="H102" s="1381">
        <v>49</v>
      </c>
      <c r="I102" s="1387">
        <v>47</v>
      </c>
      <c r="J102" s="1392">
        <v>4</v>
      </c>
      <c r="K102" s="1381">
        <v>17</v>
      </c>
      <c r="L102" s="1387">
        <v>65</v>
      </c>
      <c r="M102" s="1397">
        <v>18</v>
      </c>
      <c r="N102" s="1402">
        <v>7</v>
      </c>
      <c r="O102" s="1387">
        <v>59</v>
      </c>
      <c r="P102" s="1392">
        <v>34</v>
      </c>
      <c r="Q102" s="1381">
        <v>47</v>
      </c>
      <c r="R102" s="1387">
        <v>47</v>
      </c>
      <c r="S102" s="1397">
        <v>6</v>
      </c>
    </row>
    <row r="103" spans="6:19">
      <c r="F103" s="65">
        <v>41</v>
      </c>
      <c r="G103" s="87" t="s">
        <v>622</v>
      </c>
      <c r="H103" s="1382">
        <v>44</v>
      </c>
      <c r="I103" s="1388">
        <v>53</v>
      </c>
      <c r="J103" s="1393">
        <v>3</v>
      </c>
      <c r="K103" s="1382">
        <v>15</v>
      </c>
      <c r="L103" s="1388">
        <v>75</v>
      </c>
      <c r="M103" s="1398">
        <v>10</v>
      </c>
      <c r="N103" s="1403">
        <v>6</v>
      </c>
      <c r="O103" s="1388">
        <v>72</v>
      </c>
      <c r="P103" s="1393">
        <v>22</v>
      </c>
      <c r="Q103" s="1382">
        <v>44</v>
      </c>
      <c r="R103" s="1388">
        <v>53</v>
      </c>
      <c r="S103" s="1398">
        <v>3</v>
      </c>
    </row>
    <row r="104" spans="6:19">
      <c r="F104" s="65">
        <v>42</v>
      </c>
      <c r="G104" s="87" t="s">
        <v>623</v>
      </c>
      <c r="H104" s="1382">
        <v>44</v>
      </c>
      <c r="I104" s="1388">
        <v>51</v>
      </c>
      <c r="J104" s="1393">
        <v>5</v>
      </c>
      <c r="K104" s="1382">
        <v>15</v>
      </c>
      <c r="L104" s="1388">
        <v>70</v>
      </c>
      <c r="M104" s="1398">
        <v>15</v>
      </c>
      <c r="N104" s="1403">
        <v>5</v>
      </c>
      <c r="O104" s="1388">
        <v>63</v>
      </c>
      <c r="P104" s="1393">
        <v>32</v>
      </c>
      <c r="Q104" s="1382">
        <v>43</v>
      </c>
      <c r="R104" s="1388">
        <v>52</v>
      </c>
      <c r="S104" s="1398">
        <v>5</v>
      </c>
    </row>
    <row r="105" spans="6:19">
      <c r="F105" s="65">
        <v>43</v>
      </c>
      <c r="G105" s="87" t="s">
        <v>624</v>
      </c>
      <c r="H105" s="1382">
        <v>50</v>
      </c>
      <c r="I105" s="1388">
        <v>49</v>
      </c>
      <c r="J105" s="1393">
        <v>1</v>
      </c>
      <c r="K105" s="1382">
        <v>23</v>
      </c>
      <c r="L105" s="1388">
        <v>74</v>
      </c>
      <c r="M105" s="1398">
        <v>3</v>
      </c>
      <c r="N105" s="1403">
        <v>11</v>
      </c>
      <c r="O105" s="1388">
        <v>81</v>
      </c>
      <c r="P105" s="1393">
        <v>8</v>
      </c>
      <c r="Q105" s="1382">
        <v>50</v>
      </c>
      <c r="R105" s="1388">
        <v>49</v>
      </c>
      <c r="S105" s="1398">
        <v>1</v>
      </c>
    </row>
    <row r="106" spans="6:19">
      <c r="F106" s="65">
        <v>44</v>
      </c>
      <c r="G106" s="87" t="s">
        <v>625</v>
      </c>
      <c r="H106" s="1382">
        <v>56</v>
      </c>
      <c r="I106" s="1388">
        <v>40</v>
      </c>
      <c r="J106" s="1393">
        <v>4</v>
      </c>
      <c r="K106" s="1382">
        <v>19</v>
      </c>
      <c r="L106" s="1388">
        <v>65</v>
      </c>
      <c r="M106" s="1398">
        <v>16</v>
      </c>
      <c r="N106" s="1403">
        <v>9</v>
      </c>
      <c r="O106" s="1388">
        <v>58</v>
      </c>
      <c r="P106" s="1393">
        <v>33</v>
      </c>
      <c r="Q106" s="1382">
        <v>56</v>
      </c>
      <c r="R106" s="1388">
        <v>40</v>
      </c>
      <c r="S106" s="1398">
        <v>4</v>
      </c>
    </row>
    <row r="107" spans="6:19">
      <c r="F107" s="65">
        <v>45</v>
      </c>
      <c r="G107" s="87" t="s">
        <v>626</v>
      </c>
      <c r="H107" s="1382">
        <v>57</v>
      </c>
      <c r="I107" s="1388">
        <v>40</v>
      </c>
      <c r="J107" s="1393">
        <v>3</v>
      </c>
      <c r="K107" s="1382">
        <v>50</v>
      </c>
      <c r="L107" s="1388">
        <v>31</v>
      </c>
      <c r="M107" s="1398">
        <v>19</v>
      </c>
      <c r="N107" s="1403">
        <v>32</v>
      </c>
      <c r="O107" s="1388">
        <v>35</v>
      </c>
      <c r="P107" s="1393">
        <v>33</v>
      </c>
      <c r="Q107" s="1382">
        <v>57</v>
      </c>
      <c r="R107" s="1388">
        <v>35</v>
      </c>
      <c r="S107" s="1398">
        <v>8</v>
      </c>
    </row>
    <row r="108" spans="6:19">
      <c r="F108" s="65">
        <v>46</v>
      </c>
      <c r="G108" s="554" t="s">
        <v>627</v>
      </c>
      <c r="H108" s="1383">
        <v>39</v>
      </c>
      <c r="I108" s="1389">
        <v>56</v>
      </c>
      <c r="J108" s="1394">
        <v>5</v>
      </c>
      <c r="K108" s="1383">
        <v>12</v>
      </c>
      <c r="L108" s="1389">
        <v>67</v>
      </c>
      <c r="M108" s="1399">
        <v>21</v>
      </c>
      <c r="N108" s="1404">
        <v>4</v>
      </c>
      <c r="O108" s="1389">
        <v>59</v>
      </c>
      <c r="P108" s="1394">
        <v>37</v>
      </c>
      <c r="Q108" s="1383">
        <v>39</v>
      </c>
      <c r="R108" s="1389">
        <v>54</v>
      </c>
      <c r="S108" s="1399">
        <v>7</v>
      </c>
    </row>
    <row r="109" spans="6:19" ht="14.5" thickBot="1">
      <c r="F109" s="65">
        <v>47</v>
      </c>
      <c r="G109" s="555" t="s">
        <v>628</v>
      </c>
      <c r="H109" s="1384">
        <v>63</v>
      </c>
      <c r="I109" s="1390">
        <v>36</v>
      </c>
      <c r="J109" s="1395">
        <v>1</v>
      </c>
      <c r="K109" s="1384">
        <v>32</v>
      </c>
      <c r="L109" s="1390">
        <v>64</v>
      </c>
      <c r="M109" s="1400">
        <v>4</v>
      </c>
      <c r="N109" s="1405">
        <v>19</v>
      </c>
      <c r="O109" s="1390">
        <v>74</v>
      </c>
      <c r="P109" s="1395">
        <v>7</v>
      </c>
      <c r="Q109" s="1384">
        <v>63</v>
      </c>
      <c r="R109" s="1390">
        <v>36</v>
      </c>
      <c r="S109" s="1400">
        <v>1</v>
      </c>
    </row>
    <row r="110" spans="6:19" ht="15" thickTop="1" thickBot="1">
      <c r="F110" s="65"/>
      <c r="G110" s="179"/>
      <c r="H110" s="180"/>
      <c r="I110" s="180"/>
      <c r="J110" s="180"/>
      <c r="K110" s="180"/>
      <c r="L110" s="180"/>
      <c r="M110" s="180"/>
      <c r="N110" s="180"/>
      <c r="O110" s="180"/>
      <c r="P110" s="180"/>
      <c r="Q110" s="180"/>
      <c r="R110" s="180"/>
      <c r="S110" s="180"/>
    </row>
    <row r="111" spans="6:19" ht="15" thickTop="1" thickBot="1">
      <c r="F111" s="65" t="s">
        <v>450</v>
      </c>
      <c r="G111" s="985" t="str">
        <f>VLOOKUP(基本入力!$J$5,係数!$F$63:$S$109,2,0)</f>
        <v>東京都</v>
      </c>
      <c r="H111" s="985">
        <f>VLOOKUP(基本入力!$J$5,係数!$F$63:$S$109,3,0)</f>
        <v>23</v>
      </c>
      <c r="I111" s="988">
        <f>VLOOKUP(基本入力!$J$5,係数!$F$63:$S$109,4,0)</f>
        <v>61</v>
      </c>
      <c r="J111" s="988">
        <f>VLOOKUP(基本入力!$J$5,係数!$F$63:$S$109,5,0)</f>
        <v>16</v>
      </c>
      <c r="K111" s="985">
        <f>VLOOKUP(基本入力!$J$5,係数!$F$63:$S$109,6,0)</f>
        <v>5</v>
      </c>
      <c r="L111" s="162">
        <f>VLOOKUP(基本入力!$J$5,係数!$F$63:$S$109,7,0)</f>
        <v>57</v>
      </c>
      <c r="M111" s="986">
        <f>VLOOKUP(基本入力!$J$5,係数!$F$63:$S$109,8,0)</f>
        <v>38</v>
      </c>
      <c r="N111" s="985">
        <f>VLOOKUP(基本入力!$J$5,係数!$F$63:$S$109,9,0)</f>
        <v>1</v>
      </c>
      <c r="O111" s="162">
        <f>VLOOKUP(基本入力!$J$5,係数!$F$63:$S$109,10,0)</f>
        <v>37</v>
      </c>
      <c r="P111" s="986">
        <f>VLOOKUP(基本入力!$J$5,係数!$F$63:$S$109,11,0)</f>
        <v>62</v>
      </c>
      <c r="Q111" s="985">
        <f>VLOOKUP(基本入力!$J$5,係数!$F$63:$S$109,12,0)</f>
        <v>23</v>
      </c>
      <c r="R111" s="162">
        <f>VLOOKUP(基本入力!$J$5,係数!$F$63:$S$109,13,0)</f>
        <v>61</v>
      </c>
      <c r="S111" s="163">
        <f>VLOOKUP(基本入力!$J$5,係数!$F$63:$S$109,14,0)</f>
        <v>16</v>
      </c>
    </row>
    <row r="112" spans="6:19" ht="14.5" thickTop="1">
      <c r="G112" s="82"/>
      <c r="H112" s="82"/>
      <c r="I112" s="82"/>
      <c r="J112" s="82"/>
      <c r="K112" s="82"/>
      <c r="L112" s="82"/>
      <c r="M112" s="82"/>
      <c r="N112" s="82"/>
      <c r="O112" s="82"/>
      <c r="P112" s="82"/>
      <c r="Q112" s="82"/>
      <c r="R112" s="82"/>
      <c r="S112" s="82"/>
    </row>
  </sheetData>
  <sheetProtection sheet="1" objects="1" scenarios="1"/>
  <mergeCells count="24">
    <mergeCell ref="B74:E75"/>
    <mergeCell ref="V29:V30"/>
    <mergeCell ref="V33:V34"/>
    <mergeCell ref="S33:U34"/>
    <mergeCell ref="V31:V32"/>
    <mergeCell ref="W33:W34"/>
    <mergeCell ref="X33:X34"/>
    <mergeCell ref="W31:W32"/>
    <mergeCell ref="Q47:R47"/>
    <mergeCell ref="B67:E68"/>
    <mergeCell ref="W29:W30"/>
    <mergeCell ref="S29:U30"/>
    <mergeCell ref="S31:U32"/>
    <mergeCell ref="X29:X30"/>
    <mergeCell ref="Z9:Z12"/>
    <mergeCell ref="X31:X32"/>
    <mergeCell ref="C19:C21"/>
    <mergeCell ref="Q51:R51"/>
    <mergeCell ref="Q39:R39"/>
    <mergeCell ref="Q42:R42"/>
    <mergeCell ref="Q46:R46"/>
    <mergeCell ref="Q48:R48"/>
    <mergeCell ref="Q40:Q41"/>
    <mergeCell ref="Q49:R49"/>
  </mergeCells>
  <phoneticPr fontId="2"/>
  <pageMargins left="0.39" right="0.38" top="0.53" bottom="0.69" header="0.63" footer="0.51"/>
  <pageSetup paperSize="8" scale="47" orientation="landscape" horizontalDpi="200" verticalDpi="200" r:id="rId1"/>
  <headerFooter alignWithMargins="0">
    <oddFooter>&amp;C－&amp;P－</oddFooter>
  </headerFooter>
  <cellWatches>
    <cellWatch r="S42"/>
  </cellWatches>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22">
    <pageSetUpPr autoPageBreaks="0" fitToPage="1"/>
  </sheetPr>
  <dimension ref="A2:D23"/>
  <sheetViews>
    <sheetView showGridLines="0" zoomScaleNormal="100" workbookViewId="0"/>
  </sheetViews>
  <sheetFormatPr defaultColWidth="9" defaultRowHeight="14"/>
  <cols>
    <col min="1" max="1" width="2.25" style="191" customWidth="1"/>
    <col min="2" max="2" width="22.58203125" style="191" customWidth="1"/>
    <col min="3" max="3" width="26.08203125" style="191" customWidth="1"/>
    <col min="4" max="4" width="31.58203125" style="191" customWidth="1"/>
    <col min="5" max="5" width="2.25" style="191" customWidth="1"/>
    <col min="6" max="16384" width="9" style="191"/>
  </cols>
  <sheetData>
    <row r="2" spans="1:4" s="301" customFormat="1">
      <c r="A2" s="301" t="s">
        <v>801</v>
      </c>
    </row>
    <row r="3" spans="1:4" s="301" customFormat="1">
      <c r="B3" s="302" t="s">
        <v>638</v>
      </c>
    </row>
    <row r="5" spans="1:4" ht="24" customHeight="1">
      <c r="A5" s="301"/>
      <c r="B5" s="2183" t="s">
        <v>800</v>
      </c>
      <c r="C5" s="2184"/>
      <c r="D5" s="2184"/>
    </row>
    <row r="7" spans="1:4" ht="21" customHeight="1">
      <c r="B7" s="1529" t="s">
        <v>1237</v>
      </c>
    </row>
    <row r="9" spans="1:4" ht="24" customHeight="1">
      <c r="B9" s="2182"/>
      <c r="C9" s="2182"/>
      <c r="D9" s="303" t="s">
        <v>639</v>
      </c>
    </row>
    <row r="10" spans="1:4" ht="24" customHeight="1">
      <c r="B10" s="1540" t="s">
        <v>1216</v>
      </c>
      <c r="C10" s="308"/>
      <c r="D10" s="311"/>
    </row>
    <row r="11" spans="1:4" ht="24" customHeight="1">
      <c r="B11" s="318" t="s">
        <v>640</v>
      </c>
      <c r="C11" s="310"/>
      <c r="D11" s="311"/>
    </row>
    <row r="12" spans="1:4" ht="24" customHeight="1">
      <c r="B12" s="318"/>
      <c r="C12" s="310" t="s">
        <v>641</v>
      </c>
      <c r="D12" s="311"/>
    </row>
    <row r="13" spans="1:4" ht="24" customHeight="1">
      <c r="B13" s="307" t="s">
        <v>642</v>
      </c>
      <c r="C13" s="305"/>
      <c r="D13" s="314"/>
    </row>
    <row r="14" spans="1:4" ht="24" customHeight="1">
      <c r="B14" s="1541" t="s">
        <v>1217</v>
      </c>
      <c r="C14" s="305"/>
      <c r="D14" s="314"/>
    </row>
    <row r="15" spans="1:4" ht="24" customHeight="1">
      <c r="B15" s="1528" t="s">
        <v>1230</v>
      </c>
      <c r="C15" s="310"/>
      <c r="D15" s="1542"/>
    </row>
    <row r="16" spans="1:4" ht="24" customHeight="1">
      <c r="B16" s="1528" t="s">
        <v>1218</v>
      </c>
      <c r="C16" s="310"/>
      <c r="D16" s="448"/>
    </row>
    <row r="17" spans="2:4" ht="24" customHeight="1">
      <c r="B17" s="315"/>
      <c r="C17" s="315"/>
      <c r="D17" s="315"/>
    </row>
    <row r="18" spans="2:4">
      <c r="B18" s="1524" t="s">
        <v>1219</v>
      </c>
      <c r="C18" s="315"/>
      <c r="D18" s="315"/>
    </row>
    <row r="19" spans="2:4">
      <c r="B19" s="315"/>
      <c r="C19" s="315"/>
      <c r="D19" s="315"/>
    </row>
    <row r="20" spans="2:4">
      <c r="B20" s="1524"/>
      <c r="C20" s="315"/>
      <c r="D20" s="315"/>
    </row>
    <row r="21" spans="2:4">
      <c r="B21" s="316"/>
    </row>
    <row r="22" spans="2:4">
      <c r="B22" s="1525"/>
    </row>
    <row r="23" spans="2:4">
      <c r="B23" s="316"/>
    </row>
  </sheetData>
  <mergeCells count="2">
    <mergeCell ref="B9:C9"/>
    <mergeCell ref="B5:D5"/>
  </mergeCells>
  <phoneticPr fontId="22"/>
  <printOptions horizontalCentered="1"/>
  <pageMargins left="0.59055118110236227" right="0.59055118110236227" top="0.98425196850393704" bottom="0.98425196850393704" header="0.51181102362204722" footer="0.51181102362204722"/>
  <pageSetup paperSize="9" orientation="portrait"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23">
    <pageSetUpPr autoPageBreaks="0" fitToPage="1"/>
  </sheetPr>
  <dimension ref="A2:D25"/>
  <sheetViews>
    <sheetView showGridLines="0" zoomScaleNormal="100" workbookViewId="0"/>
  </sheetViews>
  <sheetFormatPr defaultColWidth="9" defaultRowHeight="14"/>
  <cols>
    <col min="1" max="1" width="2.25" style="191" customWidth="1"/>
    <col min="2" max="2" width="5.58203125" style="191" customWidth="1"/>
    <col min="3" max="3" width="32.08203125" style="191" customWidth="1"/>
    <col min="4" max="4" width="42.58203125" style="191" customWidth="1"/>
    <col min="5" max="5" width="2.25" style="191" customWidth="1"/>
    <col min="6" max="16384" width="9" style="191"/>
  </cols>
  <sheetData>
    <row r="2" spans="1:4" s="301" customFormat="1">
      <c r="A2" s="301" t="s">
        <v>801</v>
      </c>
    </row>
    <row r="3" spans="1:4" s="301" customFormat="1">
      <c r="B3" s="302" t="s">
        <v>802</v>
      </c>
    </row>
    <row r="5" spans="1:4" ht="24" customHeight="1">
      <c r="A5" s="301"/>
      <c r="B5" s="2183" t="s">
        <v>799</v>
      </c>
      <c r="C5" s="2184"/>
      <c r="D5" s="2184"/>
    </row>
    <row r="7" spans="1:4" ht="21" customHeight="1">
      <c r="B7" s="1529" t="s">
        <v>1237</v>
      </c>
    </row>
    <row r="9" spans="1:4" ht="24" customHeight="1">
      <c r="B9" s="2185"/>
      <c r="C9" s="2186"/>
      <c r="D9" s="303" t="s">
        <v>639</v>
      </c>
    </row>
    <row r="10" spans="1:4" ht="24" customHeight="1">
      <c r="B10" s="304" t="s">
        <v>803</v>
      </c>
      <c r="C10" s="305"/>
      <c r="D10" s="306"/>
    </row>
    <row r="11" spans="1:4" ht="24" customHeight="1">
      <c r="B11" s="307"/>
      <c r="C11" s="319" t="s">
        <v>804</v>
      </c>
      <c r="D11" s="1546" t="s">
        <v>805</v>
      </c>
    </row>
    <row r="12" spans="1:4" ht="24" customHeight="1">
      <c r="B12" s="309"/>
      <c r="C12" s="1526" t="s">
        <v>1220</v>
      </c>
      <c r="D12" s="311"/>
    </row>
    <row r="13" spans="1:4" ht="9" customHeight="1">
      <c r="B13" s="312"/>
      <c r="C13" s="312"/>
      <c r="D13" s="313"/>
    </row>
    <row r="14" spans="1:4" ht="24" customHeight="1">
      <c r="B14" s="1527" t="s">
        <v>1203</v>
      </c>
      <c r="C14" s="317"/>
      <c r="D14" s="322"/>
    </row>
    <row r="15" spans="1:4" ht="24" customHeight="1">
      <c r="B15" s="1527" t="s">
        <v>1221</v>
      </c>
      <c r="C15" s="323"/>
      <c r="D15" s="324"/>
    </row>
    <row r="16" spans="1:4" ht="9" customHeight="1">
      <c r="B16" s="315"/>
      <c r="C16" s="315"/>
      <c r="D16" s="315"/>
    </row>
    <row r="17" spans="2:4" ht="24" customHeight="1">
      <c r="B17" s="1528" t="s">
        <v>1218</v>
      </c>
      <c r="C17" s="310"/>
      <c r="D17" s="448"/>
    </row>
    <row r="18" spans="2:4" ht="24" customHeight="1">
      <c r="B18" s="1524" t="s">
        <v>1219</v>
      </c>
      <c r="C18" s="320"/>
      <c r="D18" s="321"/>
    </row>
    <row r="19" spans="2:4" ht="14.25" customHeight="1">
      <c r="B19" s="1524"/>
      <c r="C19" s="320"/>
      <c r="D19" s="321"/>
    </row>
    <row r="20" spans="2:4" ht="14.25" customHeight="1">
      <c r="C20" s="315"/>
      <c r="D20" s="315"/>
    </row>
    <row r="21" spans="2:4">
      <c r="B21" s="315"/>
      <c r="C21" s="315"/>
      <c r="D21" s="315"/>
    </row>
    <row r="22" spans="2:4">
      <c r="B22" s="315"/>
      <c r="C22" s="315"/>
      <c r="D22" s="315"/>
    </row>
    <row r="23" spans="2:4">
      <c r="B23" s="316"/>
    </row>
    <row r="24" spans="2:4">
      <c r="B24" s="316"/>
    </row>
    <row r="25" spans="2:4">
      <c r="B25" s="316"/>
    </row>
  </sheetData>
  <mergeCells count="2">
    <mergeCell ref="B9:C9"/>
    <mergeCell ref="B5:D5"/>
  </mergeCells>
  <phoneticPr fontId="22"/>
  <printOptions horizontalCentered="1"/>
  <pageMargins left="0.59055118110236227" right="0.59055118110236227" top="0.98425196850393704" bottom="0.98425196850393704" header="0.51181102362204722" footer="0.51181102362204722"/>
  <pageSetup paperSize="9" orientation="portrait"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24">
    <pageSetUpPr autoPageBreaks="0"/>
  </sheetPr>
  <dimension ref="A2:AR82"/>
  <sheetViews>
    <sheetView showGridLines="0" zoomScale="75" workbookViewId="0">
      <selection activeCell="R3" sqref="R3"/>
    </sheetView>
  </sheetViews>
  <sheetFormatPr defaultColWidth="9" defaultRowHeight="13"/>
  <cols>
    <col min="1" max="2" width="14.58203125" style="111" customWidth="1"/>
    <col min="3" max="40" width="3.83203125" style="111" customWidth="1"/>
    <col min="41" max="41" width="6" style="111" customWidth="1"/>
    <col min="42" max="42" width="3.58203125" style="111" customWidth="1"/>
    <col min="43" max="16384" width="9" style="111"/>
  </cols>
  <sheetData>
    <row r="2" spans="1:41" ht="21">
      <c r="A2" s="2205" t="s">
        <v>1168</v>
      </c>
      <c r="B2" s="2205"/>
      <c r="C2" s="2205"/>
      <c r="D2" s="2205"/>
      <c r="E2" s="2205"/>
      <c r="F2" s="2205"/>
      <c r="G2" s="2205"/>
      <c r="H2" s="2205"/>
      <c r="I2" s="2205"/>
      <c r="J2" s="2205"/>
      <c r="K2" s="2205"/>
      <c r="L2" s="2205"/>
      <c r="M2" s="2205"/>
      <c r="N2" s="2205"/>
      <c r="O2" s="2205"/>
      <c r="P2" s="2205"/>
      <c r="Q2" s="2205"/>
      <c r="R2" s="2205"/>
      <c r="S2" s="2205"/>
      <c r="T2" s="2205"/>
      <c r="U2" s="2205"/>
      <c r="V2" s="2205"/>
      <c r="W2" s="2205"/>
      <c r="X2" s="2205"/>
      <c r="Y2" s="2205"/>
      <c r="Z2" s="2205"/>
      <c r="AA2" s="2205"/>
      <c r="AB2" s="2205"/>
      <c r="AC2" s="2205"/>
      <c r="AD2" s="2205"/>
      <c r="AE2" s="2205"/>
      <c r="AF2" s="2205"/>
      <c r="AG2" s="2205"/>
      <c r="AH2" s="2205"/>
      <c r="AI2" s="2205"/>
      <c r="AJ2" s="2205"/>
      <c r="AK2" s="2205"/>
      <c r="AL2" s="2205"/>
      <c r="AM2" s="2205"/>
      <c r="AN2" s="2205"/>
      <c r="AO2" s="990"/>
    </row>
    <row r="4" spans="1:41" ht="13.5" thickBot="1"/>
    <row r="5" spans="1:41" ht="14">
      <c r="A5" s="112" t="s">
        <v>455</v>
      </c>
      <c r="B5" s="113"/>
      <c r="C5" s="2237">
        <v>0</v>
      </c>
      <c r="D5" s="2262"/>
      <c r="E5" s="2237">
        <v>1</v>
      </c>
      <c r="F5" s="2265"/>
      <c r="G5" s="2238"/>
      <c r="H5" s="2238"/>
      <c r="I5" s="2238"/>
      <c r="J5" s="2238"/>
      <c r="K5" s="2239"/>
      <c r="L5" s="2237">
        <v>2</v>
      </c>
      <c r="M5" s="2239"/>
      <c r="N5" s="2237">
        <v>3</v>
      </c>
      <c r="O5" s="2239"/>
      <c r="P5" s="2237">
        <v>4</v>
      </c>
      <c r="Q5" s="2238"/>
      <c r="R5" s="2239"/>
      <c r="S5" s="2265">
        <v>5</v>
      </c>
      <c r="T5" s="2239"/>
      <c r="U5" s="2237">
        <v>6</v>
      </c>
      <c r="V5" s="2265"/>
      <c r="W5" s="2239"/>
      <c r="X5" s="2237">
        <v>7</v>
      </c>
      <c r="Y5" s="2265"/>
      <c r="Z5" s="2265"/>
      <c r="AA5" s="2262"/>
      <c r="AB5" s="2237">
        <v>8</v>
      </c>
      <c r="AC5" s="2265"/>
      <c r="AD5" s="2265"/>
      <c r="AE5" s="2262"/>
      <c r="AF5" s="2237">
        <v>9</v>
      </c>
      <c r="AG5" s="2265"/>
      <c r="AH5" s="2265"/>
      <c r="AI5" s="2265"/>
      <c r="AJ5" s="2265"/>
      <c r="AK5" s="2265"/>
      <c r="AL5" s="2265"/>
      <c r="AM5" s="2265"/>
      <c r="AN5" s="2242"/>
    </row>
    <row r="6" spans="1:41" ht="14">
      <c r="A6" s="114" t="s">
        <v>456</v>
      </c>
      <c r="B6" s="115"/>
      <c r="C6" s="2226" t="s">
        <v>457</v>
      </c>
      <c r="D6" s="2256"/>
      <c r="E6" s="2263" t="s">
        <v>458</v>
      </c>
      <c r="F6" s="2268"/>
      <c r="G6" s="2263" t="s">
        <v>459</v>
      </c>
      <c r="H6" s="2268"/>
      <c r="I6" s="2263" t="s">
        <v>460</v>
      </c>
      <c r="J6" s="2264"/>
      <c r="K6" s="118" t="s">
        <v>461</v>
      </c>
      <c r="L6" s="119"/>
      <c r="M6" s="120" t="s">
        <v>462</v>
      </c>
      <c r="N6" s="121"/>
      <c r="O6" s="122" t="s">
        <v>463</v>
      </c>
      <c r="P6" s="123"/>
      <c r="Q6" s="2228" t="s">
        <v>464</v>
      </c>
      <c r="R6" s="2259"/>
      <c r="S6" s="2280" t="s">
        <v>465</v>
      </c>
      <c r="T6" s="2281"/>
      <c r="U6" s="2269" t="s">
        <v>466</v>
      </c>
      <c r="V6" s="2278"/>
      <c r="W6" s="124" t="s">
        <v>467</v>
      </c>
      <c r="X6" s="125"/>
      <c r="Y6" s="2273" t="s">
        <v>468</v>
      </c>
      <c r="Z6" s="2273"/>
      <c r="AA6" s="126" t="s">
        <v>469</v>
      </c>
      <c r="AB6" s="117"/>
      <c r="AC6" s="2274" t="s">
        <v>470</v>
      </c>
      <c r="AD6" s="2274"/>
      <c r="AE6" s="116" t="s">
        <v>471</v>
      </c>
      <c r="AF6" s="127"/>
      <c r="AG6" s="2272" t="s">
        <v>472</v>
      </c>
      <c r="AH6" s="2272"/>
      <c r="AI6" s="2272" t="s">
        <v>473</v>
      </c>
      <c r="AJ6" s="2272"/>
      <c r="AK6" s="2272" t="s">
        <v>474</v>
      </c>
      <c r="AL6" s="2272"/>
      <c r="AM6" s="2275" t="s">
        <v>475</v>
      </c>
      <c r="AN6" s="2276"/>
    </row>
    <row r="7" spans="1:41" ht="14">
      <c r="A7" s="128" t="s">
        <v>476</v>
      </c>
      <c r="B7" s="129"/>
      <c r="C7" s="2226" t="s">
        <v>477</v>
      </c>
      <c r="D7" s="2227"/>
      <c r="E7" s="2260">
        <f>G7+1</f>
        <v>38</v>
      </c>
      <c r="F7" s="2261"/>
      <c r="G7" s="2260">
        <f>I7+1</f>
        <v>37</v>
      </c>
      <c r="H7" s="2261"/>
      <c r="I7" s="2260">
        <f>K7+1</f>
        <v>36</v>
      </c>
      <c r="J7" s="2261"/>
      <c r="K7" s="2260">
        <f>M7+1</f>
        <v>35</v>
      </c>
      <c r="L7" s="2261"/>
      <c r="M7" s="2260">
        <f>O7+1</f>
        <v>34</v>
      </c>
      <c r="N7" s="2261"/>
      <c r="O7" s="2260">
        <f>Q7+1</f>
        <v>33</v>
      </c>
      <c r="P7" s="2261"/>
      <c r="Q7" s="2260">
        <f>S7+1</f>
        <v>32</v>
      </c>
      <c r="R7" s="2261"/>
      <c r="S7" s="2260">
        <f>U7+1</f>
        <v>31</v>
      </c>
      <c r="T7" s="2261"/>
      <c r="U7" s="2260">
        <f>W7+1</f>
        <v>30</v>
      </c>
      <c r="V7" s="2261"/>
      <c r="W7" s="2260">
        <f>Y7+1</f>
        <v>29</v>
      </c>
      <c r="X7" s="2261"/>
      <c r="Y7" s="2260">
        <f>AA7+1</f>
        <v>28</v>
      </c>
      <c r="Z7" s="2261"/>
      <c r="AA7" s="2260">
        <f>AC7+1</f>
        <v>27</v>
      </c>
      <c r="AB7" s="2261"/>
      <c r="AC7" s="2260">
        <f>AE7+1</f>
        <v>26</v>
      </c>
      <c r="AD7" s="2261"/>
      <c r="AE7" s="2260">
        <f>AG7+1</f>
        <v>25</v>
      </c>
      <c r="AF7" s="2261"/>
      <c r="AG7" s="2260">
        <f>AI7+1</f>
        <v>24</v>
      </c>
      <c r="AH7" s="2261"/>
      <c r="AI7" s="2260">
        <f>AK7+1</f>
        <v>23</v>
      </c>
      <c r="AJ7" s="2261"/>
      <c r="AK7" s="2260">
        <f>AM7+1</f>
        <v>22</v>
      </c>
      <c r="AL7" s="2261"/>
      <c r="AM7" s="2226">
        <f>C33</f>
        <v>21</v>
      </c>
      <c r="AN7" s="2277"/>
    </row>
    <row r="8" spans="1:41">
      <c r="A8" s="130" t="s">
        <v>478</v>
      </c>
      <c r="B8" s="131"/>
      <c r="C8" s="2200">
        <v>2910</v>
      </c>
      <c r="D8" s="2202"/>
      <c r="E8" s="2195">
        <v>2190</v>
      </c>
      <c r="F8" s="2216"/>
      <c r="G8" s="2201"/>
      <c r="H8" s="2201"/>
      <c r="I8" s="2201"/>
      <c r="J8" s="2201"/>
      <c r="K8" s="2202"/>
      <c r="L8" s="2200">
        <v>3400</v>
      </c>
      <c r="M8" s="2202"/>
      <c r="N8" s="2200">
        <v>6040</v>
      </c>
      <c r="O8" s="2202"/>
      <c r="P8" s="2245">
        <v>5840</v>
      </c>
      <c r="Q8" s="2201"/>
      <c r="R8" s="2202"/>
      <c r="S8" s="2217">
        <v>7150</v>
      </c>
      <c r="T8" s="2207"/>
      <c r="U8" s="2195">
        <v>7550</v>
      </c>
      <c r="V8" s="2216"/>
      <c r="W8" s="2201"/>
      <c r="X8" s="2200">
        <v>7870</v>
      </c>
      <c r="Y8" s="2201"/>
      <c r="Z8" s="2201"/>
      <c r="AA8" s="2202"/>
      <c r="AB8" s="2200">
        <v>8770</v>
      </c>
      <c r="AC8" s="2201"/>
      <c r="AD8" s="2201"/>
      <c r="AE8" s="2202"/>
      <c r="AF8" s="2245">
        <v>9380</v>
      </c>
      <c r="AG8" s="2201"/>
      <c r="AH8" s="2201"/>
      <c r="AI8" s="2201"/>
      <c r="AJ8" s="2201"/>
      <c r="AK8" s="2201"/>
      <c r="AL8" s="2201"/>
      <c r="AM8" s="2201"/>
      <c r="AN8" s="2236"/>
    </row>
    <row r="9" spans="1:41">
      <c r="A9" s="132" t="s">
        <v>479</v>
      </c>
      <c r="B9" s="133"/>
      <c r="C9" s="2203"/>
      <c r="D9" s="2204"/>
      <c r="E9" s="2266"/>
      <c r="F9" s="2267"/>
      <c r="G9" s="2266"/>
      <c r="H9" s="2267"/>
      <c r="I9" s="2266"/>
      <c r="J9" s="2267"/>
      <c r="K9" s="980"/>
      <c r="L9" s="981">
        <v>900</v>
      </c>
      <c r="M9" s="982"/>
      <c r="N9" s="981"/>
      <c r="O9" s="982"/>
      <c r="P9" s="981"/>
      <c r="Q9" s="2189"/>
      <c r="R9" s="2190"/>
      <c r="S9" s="2189"/>
      <c r="T9" s="2190"/>
      <c r="U9" s="2189"/>
      <c r="V9" s="2190"/>
      <c r="W9" s="982"/>
      <c r="X9" s="981"/>
      <c r="Y9" s="2189"/>
      <c r="Z9" s="2190"/>
      <c r="AA9" s="982"/>
      <c r="AB9" s="981"/>
      <c r="AC9" s="2189"/>
      <c r="AD9" s="2190"/>
      <c r="AE9" s="982"/>
      <c r="AF9" s="981"/>
      <c r="AG9" s="2189"/>
      <c r="AH9" s="2190"/>
      <c r="AI9" s="2189"/>
      <c r="AJ9" s="2190"/>
      <c r="AK9" s="2189"/>
      <c r="AL9" s="2190"/>
      <c r="AM9" s="2189"/>
      <c r="AN9" s="2244"/>
    </row>
    <row r="10" spans="1:41">
      <c r="A10" s="128" t="s">
        <v>480</v>
      </c>
      <c r="B10" s="129"/>
      <c r="C10" s="2209" t="s">
        <v>481</v>
      </c>
      <c r="D10" s="2202"/>
      <c r="E10" s="2247" t="s">
        <v>481</v>
      </c>
      <c r="F10" s="2216"/>
      <c r="G10" s="2201"/>
      <c r="H10" s="2201"/>
      <c r="I10" s="2201"/>
      <c r="J10" s="2201"/>
      <c r="K10" s="2202"/>
      <c r="L10" s="2213">
        <v>550</v>
      </c>
      <c r="M10" s="2202"/>
      <c r="N10" s="2213">
        <v>950</v>
      </c>
      <c r="O10" s="2202"/>
      <c r="P10" s="2201">
        <v>960</v>
      </c>
      <c r="Q10" s="2201"/>
      <c r="R10" s="2202"/>
      <c r="S10" s="2217">
        <v>1020</v>
      </c>
      <c r="T10" s="2207"/>
      <c r="U10" s="2195">
        <v>1250</v>
      </c>
      <c r="V10" s="2216"/>
      <c r="W10" s="2201"/>
      <c r="X10" s="2200">
        <v>1300</v>
      </c>
      <c r="Y10" s="2201"/>
      <c r="Z10" s="2201"/>
      <c r="AA10" s="2202"/>
      <c r="AB10" s="2200">
        <v>1450</v>
      </c>
      <c r="AC10" s="2201"/>
      <c r="AD10" s="2201"/>
      <c r="AE10" s="2202"/>
      <c r="AF10" s="2245">
        <v>1550</v>
      </c>
      <c r="AG10" s="2201"/>
      <c r="AH10" s="2201"/>
      <c r="AI10" s="2201"/>
      <c r="AJ10" s="2201"/>
      <c r="AK10" s="2201"/>
      <c r="AL10" s="2201"/>
      <c r="AM10" s="2201"/>
      <c r="AN10" s="2236"/>
    </row>
    <row r="11" spans="1:41">
      <c r="A11" s="132" t="s">
        <v>479</v>
      </c>
      <c r="B11" s="133"/>
      <c r="C11" s="2203"/>
      <c r="D11" s="2204"/>
      <c r="E11" s="2189"/>
      <c r="F11" s="2190"/>
      <c r="G11" s="2189"/>
      <c r="H11" s="2190"/>
      <c r="I11" s="2189"/>
      <c r="J11" s="2190"/>
      <c r="K11" s="982"/>
      <c r="L11" s="981">
        <v>900</v>
      </c>
      <c r="M11" s="982"/>
      <c r="N11" s="981"/>
      <c r="O11" s="982"/>
      <c r="P11" s="981"/>
      <c r="Q11" s="2189"/>
      <c r="R11" s="2190"/>
      <c r="S11" s="2189"/>
      <c r="T11" s="2190"/>
      <c r="U11" s="2189"/>
      <c r="V11" s="2190"/>
      <c r="W11" s="982"/>
      <c r="X11" s="981"/>
      <c r="Y11" s="2189"/>
      <c r="Z11" s="2190"/>
      <c r="AA11" s="982"/>
      <c r="AB11" s="981"/>
      <c r="AC11" s="2189"/>
      <c r="AD11" s="2190"/>
      <c r="AE11" s="982"/>
      <c r="AF11" s="981"/>
      <c r="AG11" s="2189"/>
      <c r="AH11" s="2190"/>
      <c r="AI11" s="2189"/>
      <c r="AJ11" s="2190"/>
      <c r="AK11" s="2189"/>
      <c r="AL11" s="2190"/>
      <c r="AM11" s="2189"/>
      <c r="AN11" s="2244"/>
    </row>
    <row r="12" spans="1:41">
      <c r="A12" s="128" t="s">
        <v>482</v>
      </c>
      <c r="B12" s="129"/>
      <c r="C12" s="2200">
        <v>2080</v>
      </c>
      <c r="D12" s="2202"/>
      <c r="E12" s="2195">
        <v>2080</v>
      </c>
      <c r="F12" s="2216"/>
      <c r="G12" s="2201"/>
      <c r="H12" s="2201"/>
      <c r="I12" s="2201"/>
      <c r="J12" s="2201"/>
      <c r="K12" s="2202"/>
      <c r="L12" s="2200">
        <v>2080</v>
      </c>
      <c r="M12" s="2202"/>
      <c r="N12" s="2200">
        <v>2780</v>
      </c>
      <c r="O12" s="2202"/>
      <c r="P12" s="2245">
        <v>3680</v>
      </c>
      <c r="Q12" s="2201"/>
      <c r="R12" s="2202"/>
      <c r="S12" s="2217">
        <v>3920</v>
      </c>
      <c r="T12" s="2207"/>
      <c r="U12" s="2195">
        <v>4160</v>
      </c>
      <c r="V12" s="2216"/>
      <c r="W12" s="2201"/>
      <c r="X12" s="2200">
        <v>4310</v>
      </c>
      <c r="Y12" s="2201"/>
      <c r="Z12" s="2201"/>
      <c r="AA12" s="2202"/>
      <c r="AB12" s="2200">
        <v>4800</v>
      </c>
      <c r="AC12" s="2201"/>
      <c r="AD12" s="2201"/>
      <c r="AE12" s="2202"/>
      <c r="AF12" s="2245">
        <v>5130</v>
      </c>
      <c r="AG12" s="2201"/>
      <c r="AH12" s="2201"/>
      <c r="AI12" s="2201"/>
      <c r="AJ12" s="2201"/>
      <c r="AK12" s="2201"/>
      <c r="AL12" s="2201"/>
      <c r="AM12" s="2201"/>
      <c r="AN12" s="2236"/>
    </row>
    <row r="13" spans="1:41">
      <c r="A13" s="132" t="s">
        <v>479</v>
      </c>
      <c r="B13" s="133"/>
      <c r="C13" s="2203"/>
      <c r="D13" s="2204"/>
      <c r="E13" s="2189"/>
      <c r="F13" s="2190"/>
      <c r="G13" s="2189"/>
      <c r="H13" s="2190"/>
      <c r="I13" s="2189"/>
      <c r="J13" s="2190"/>
      <c r="K13" s="982"/>
      <c r="L13" s="981">
        <v>900</v>
      </c>
      <c r="M13" s="982"/>
      <c r="N13" s="981"/>
      <c r="O13" s="982"/>
      <c r="P13" s="981"/>
      <c r="Q13" s="2189"/>
      <c r="R13" s="2190"/>
      <c r="S13" s="2189"/>
      <c r="T13" s="2190"/>
      <c r="U13" s="2189"/>
      <c r="V13" s="2190"/>
      <c r="W13" s="982"/>
      <c r="X13" s="981"/>
      <c r="Y13" s="2189"/>
      <c r="Z13" s="2190"/>
      <c r="AA13" s="982"/>
      <c r="AB13" s="981"/>
      <c r="AC13" s="2189"/>
      <c r="AD13" s="2190"/>
      <c r="AE13" s="982"/>
      <c r="AF13" s="981"/>
      <c r="AG13" s="2189"/>
      <c r="AH13" s="2190"/>
      <c r="AI13" s="2189"/>
      <c r="AJ13" s="2190"/>
      <c r="AK13" s="2189"/>
      <c r="AL13" s="2190"/>
      <c r="AM13" s="2189"/>
      <c r="AN13" s="2244"/>
    </row>
    <row r="14" spans="1:41">
      <c r="A14" s="128" t="s">
        <v>483</v>
      </c>
      <c r="B14" s="129"/>
      <c r="C14" s="2200">
        <v>2640</v>
      </c>
      <c r="D14" s="2202"/>
      <c r="E14" s="2195">
        <v>2640</v>
      </c>
      <c r="F14" s="2216"/>
      <c r="G14" s="2201"/>
      <c r="H14" s="2201"/>
      <c r="I14" s="2201"/>
      <c r="J14" s="2201"/>
      <c r="K14" s="2202"/>
      <c r="L14" s="2200">
        <v>3450</v>
      </c>
      <c r="M14" s="2202"/>
      <c r="N14" s="2200">
        <v>4910</v>
      </c>
      <c r="O14" s="2202"/>
      <c r="P14" s="2245">
        <v>4490</v>
      </c>
      <c r="Q14" s="2201"/>
      <c r="R14" s="2202"/>
      <c r="S14" s="2217">
        <v>5450</v>
      </c>
      <c r="T14" s="2207"/>
      <c r="U14" s="2195">
        <v>5710</v>
      </c>
      <c r="V14" s="2216"/>
      <c r="W14" s="2201"/>
      <c r="X14" s="2200">
        <v>5740</v>
      </c>
      <c r="Y14" s="2201"/>
      <c r="Z14" s="2201"/>
      <c r="AA14" s="2202"/>
      <c r="AB14" s="2200">
        <v>6400</v>
      </c>
      <c r="AC14" s="2201"/>
      <c r="AD14" s="2201"/>
      <c r="AE14" s="2202"/>
      <c r="AF14" s="2245">
        <v>6840</v>
      </c>
      <c r="AG14" s="2201"/>
      <c r="AH14" s="2201"/>
      <c r="AI14" s="2201"/>
      <c r="AJ14" s="2201"/>
      <c r="AK14" s="2201"/>
      <c r="AL14" s="2201"/>
      <c r="AM14" s="2201"/>
      <c r="AN14" s="2236"/>
    </row>
    <row r="15" spans="1:41">
      <c r="A15" s="132" t="s">
        <v>479</v>
      </c>
      <c r="B15" s="133"/>
      <c r="C15" s="2203"/>
      <c r="D15" s="2204"/>
      <c r="E15" s="2189"/>
      <c r="F15" s="2190"/>
      <c r="G15" s="2189"/>
      <c r="H15" s="2190"/>
      <c r="I15" s="2189"/>
      <c r="J15" s="2190"/>
      <c r="K15" s="982"/>
      <c r="L15" s="981">
        <v>900</v>
      </c>
      <c r="M15" s="982"/>
      <c r="N15" s="981"/>
      <c r="O15" s="982"/>
      <c r="P15" s="981"/>
      <c r="Q15" s="2189"/>
      <c r="R15" s="2190"/>
      <c r="S15" s="2189"/>
      <c r="T15" s="2190"/>
      <c r="U15" s="2189"/>
      <c r="V15" s="2190"/>
      <c r="W15" s="982"/>
      <c r="X15" s="981"/>
      <c r="Y15" s="2189"/>
      <c r="Z15" s="2190"/>
      <c r="AA15" s="982"/>
      <c r="AB15" s="981"/>
      <c r="AC15" s="2189"/>
      <c r="AD15" s="2190"/>
      <c r="AE15" s="982"/>
      <c r="AF15" s="981"/>
      <c r="AG15" s="2189"/>
      <c r="AH15" s="2190"/>
      <c r="AI15" s="2189"/>
      <c r="AJ15" s="2190"/>
      <c r="AK15" s="2189"/>
      <c r="AL15" s="2190"/>
      <c r="AM15" s="2189"/>
      <c r="AN15" s="2244"/>
    </row>
    <row r="16" spans="1:41">
      <c r="A16" s="2210" t="s">
        <v>636</v>
      </c>
      <c r="B16" s="134" t="s">
        <v>485</v>
      </c>
      <c r="C16" s="2214">
        <v>3080</v>
      </c>
      <c r="D16" s="2215"/>
      <c r="E16" s="2195">
        <v>3080</v>
      </c>
      <c r="F16" s="2216"/>
      <c r="G16" s="2201"/>
      <c r="H16" s="2201"/>
      <c r="I16" s="2201"/>
      <c r="J16" s="2201"/>
      <c r="K16" s="2202"/>
      <c r="L16" s="2200">
        <v>6790</v>
      </c>
      <c r="M16" s="2202"/>
      <c r="N16" s="2200">
        <v>8440</v>
      </c>
      <c r="O16" s="2202"/>
      <c r="P16" s="2245">
        <v>9740</v>
      </c>
      <c r="Q16" s="2201"/>
      <c r="R16" s="2202"/>
      <c r="S16" s="2217">
        <v>11270</v>
      </c>
      <c r="T16" s="2207"/>
      <c r="U16" s="2195">
        <v>11850</v>
      </c>
      <c r="V16" s="2216"/>
      <c r="W16" s="2201"/>
      <c r="X16" s="2200">
        <v>12260</v>
      </c>
      <c r="Y16" s="2201"/>
      <c r="Z16" s="2201"/>
      <c r="AA16" s="2202"/>
      <c r="AB16" s="2200">
        <v>13660</v>
      </c>
      <c r="AC16" s="2201"/>
      <c r="AD16" s="2201"/>
      <c r="AE16" s="2202"/>
      <c r="AF16" s="2245">
        <v>14610</v>
      </c>
      <c r="AG16" s="2201"/>
      <c r="AH16" s="2201"/>
      <c r="AI16" s="2201"/>
      <c r="AJ16" s="2201"/>
      <c r="AK16" s="2201"/>
      <c r="AL16" s="2201"/>
      <c r="AM16" s="2201"/>
      <c r="AN16" s="2236"/>
    </row>
    <row r="17" spans="1:40">
      <c r="A17" s="2211"/>
      <c r="B17" s="135" t="s">
        <v>479</v>
      </c>
      <c r="C17" s="2203"/>
      <c r="D17" s="2204"/>
      <c r="E17" s="2189"/>
      <c r="F17" s="2190"/>
      <c r="G17" s="2189"/>
      <c r="H17" s="2190"/>
      <c r="I17" s="2189"/>
      <c r="J17" s="2190"/>
      <c r="K17" s="982"/>
      <c r="L17" s="981">
        <v>70</v>
      </c>
      <c r="M17" s="982"/>
      <c r="N17" s="981"/>
      <c r="O17" s="982"/>
      <c r="P17" s="981"/>
      <c r="Q17" s="2189"/>
      <c r="R17" s="2190"/>
      <c r="S17" s="2189"/>
      <c r="T17" s="2190"/>
      <c r="U17" s="2189"/>
      <c r="V17" s="2190"/>
      <c r="W17" s="982"/>
      <c r="X17" s="981"/>
      <c r="Y17" s="2189"/>
      <c r="Z17" s="2190"/>
      <c r="AA17" s="982"/>
      <c r="AB17" s="981"/>
      <c r="AC17" s="2189"/>
      <c r="AD17" s="2190"/>
      <c r="AE17" s="982"/>
      <c r="AF17" s="981"/>
      <c r="AG17" s="2189"/>
      <c r="AH17" s="2190"/>
      <c r="AI17" s="2189"/>
      <c r="AJ17" s="2190"/>
      <c r="AK17" s="2189"/>
      <c r="AL17" s="2190"/>
      <c r="AM17" s="2189"/>
      <c r="AN17" s="2244"/>
    </row>
    <row r="18" spans="1:40">
      <c r="A18" s="2211"/>
      <c r="B18" s="134" t="s">
        <v>486</v>
      </c>
      <c r="C18" s="2209" t="s">
        <v>487</v>
      </c>
      <c r="D18" s="2202"/>
      <c r="E18" s="2247" t="s">
        <v>487</v>
      </c>
      <c r="F18" s="2216"/>
      <c r="G18" s="2201"/>
      <c r="H18" s="2201"/>
      <c r="I18" s="2201"/>
      <c r="J18" s="2201"/>
      <c r="K18" s="2202"/>
      <c r="L18" s="2209" t="s">
        <v>487</v>
      </c>
      <c r="M18" s="2202"/>
      <c r="N18" s="2209" t="s">
        <v>487</v>
      </c>
      <c r="O18" s="2202"/>
      <c r="P18" s="2246" t="s">
        <v>487</v>
      </c>
      <c r="Q18" s="2201"/>
      <c r="R18" s="2202"/>
      <c r="S18" s="2252" t="s">
        <v>487</v>
      </c>
      <c r="T18" s="2207"/>
      <c r="U18" s="2247" t="s">
        <v>487</v>
      </c>
      <c r="V18" s="2216"/>
      <c r="W18" s="2201"/>
      <c r="X18" s="2209" t="s">
        <v>487</v>
      </c>
      <c r="Y18" s="2201"/>
      <c r="Z18" s="2201"/>
      <c r="AA18" s="2202"/>
      <c r="AB18" s="2209" t="s">
        <v>487</v>
      </c>
      <c r="AC18" s="2201"/>
      <c r="AD18" s="2201"/>
      <c r="AE18" s="2202"/>
      <c r="AF18" s="2246" t="s">
        <v>487</v>
      </c>
      <c r="AG18" s="2201"/>
      <c r="AH18" s="2201"/>
      <c r="AI18" s="2201"/>
      <c r="AJ18" s="2201"/>
      <c r="AK18" s="2201"/>
      <c r="AL18" s="2201"/>
      <c r="AM18" s="2201"/>
      <c r="AN18" s="2236"/>
    </row>
    <row r="19" spans="1:40">
      <c r="A19" s="2212"/>
      <c r="B19" s="135" t="s">
        <v>479</v>
      </c>
      <c r="C19" s="2208" t="s">
        <v>481</v>
      </c>
      <c r="D19" s="2190"/>
      <c r="E19" s="2189" t="s">
        <v>453</v>
      </c>
      <c r="F19" s="2190"/>
      <c r="G19" s="2189" t="s">
        <v>453</v>
      </c>
      <c r="H19" s="2190"/>
      <c r="I19" s="2189" t="s">
        <v>453</v>
      </c>
      <c r="J19" s="2190"/>
      <c r="K19" s="2189" t="s">
        <v>453</v>
      </c>
      <c r="L19" s="2190"/>
      <c r="M19" s="2189" t="s">
        <v>453</v>
      </c>
      <c r="N19" s="2190"/>
      <c r="O19" s="2189" t="s">
        <v>453</v>
      </c>
      <c r="P19" s="2190"/>
      <c r="Q19" s="2189" t="s">
        <v>453</v>
      </c>
      <c r="R19" s="2190"/>
      <c r="S19" s="2189" t="s">
        <v>453</v>
      </c>
      <c r="T19" s="2190"/>
      <c r="U19" s="2189" t="s">
        <v>453</v>
      </c>
      <c r="V19" s="2190"/>
      <c r="W19" s="2189" t="s">
        <v>453</v>
      </c>
      <c r="X19" s="2190"/>
      <c r="Y19" s="2189" t="s">
        <v>453</v>
      </c>
      <c r="Z19" s="2190"/>
      <c r="AA19" s="2189" t="s">
        <v>453</v>
      </c>
      <c r="AB19" s="2190"/>
      <c r="AC19" s="2189" t="s">
        <v>453</v>
      </c>
      <c r="AD19" s="2190"/>
      <c r="AE19" s="2189" t="s">
        <v>453</v>
      </c>
      <c r="AF19" s="2190"/>
      <c r="AG19" s="2189" t="s">
        <v>453</v>
      </c>
      <c r="AH19" s="2190"/>
      <c r="AI19" s="2189" t="s">
        <v>453</v>
      </c>
      <c r="AJ19" s="2190"/>
      <c r="AK19" s="2189" t="s">
        <v>453</v>
      </c>
      <c r="AL19" s="2190"/>
      <c r="AM19" s="2189" t="s">
        <v>453</v>
      </c>
      <c r="AN19" s="2244"/>
    </row>
    <row r="20" spans="1:40">
      <c r="A20" s="2210" t="s">
        <v>484</v>
      </c>
      <c r="B20" s="134" t="s">
        <v>485</v>
      </c>
      <c r="C20" s="2214">
        <v>14080</v>
      </c>
      <c r="D20" s="2215"/>
      <c r="E20" s="2195">
        <v>14080</v>
      </c>
      <c r="F20" s="2216"/>
      <c r="G20" s="2201"/>
      <c r="H20" s="2201"/>
      <c r="I20" s="2201"/>
      <c r="J20" s="2201"/>
      <c r="K20" s="2202"/>
      <c r="L20" s="2200">
        <v>22390</v>
      </c>
      <c r="M20" s="2202"/>
      <c r="N20" s="2200">
        <v>27730</v>
      </c>
      <c r="O20" s="2202"/>
      <c r="P20" s="2245">
        <v>32540</v>
      </c>
      <c r="Q20" s="2201"/>
      <c r="R20" s="2202"/>
      <c r="S20" s="2217">
        <v>37610</v>
      </c>
      <c r="T20" s="2207"/>
      <c r="U20" s="2195">
        <v>38690</v>
      </c>
      <c r="V20" s="2216"/>
      <c r="W20" s="2201"/>
      <c r="X20" s="2200">
        <v>40150</v>
      </c>
      <c r="Y20" s="2201"/>
      <c r="Z20" s="2201"/>
      <c r="AA20" s="2202"/>
      <c r="AB20" s="2200">
        <v>44730</v>
      </c>
      <c r="AC20" s="2201"/>
      <c r="AD20" s="2201"/>
      <c r="AE20" s="2202"/>
      <c r="AF20" s="2245">
        <v>47820</v>
      </c>
      <c r="AG20" s="2201"/>
      <c r="AH20" s="2201"/>
      <c r="AI20" s="2201"/>
      <c r="AJ20" s="2201"/>
      <c r="AK20" s="2201"/>
      <c r="AL20" s="2201"/>
      <c r="AM20" s="2201"/>
      <c r="AN20" s="2236"/>
    </row>
    <row r="21" spans="1:40">
      <c r="A21" s="2211"/>
      <c r="B21" s="135" t="s">
        <v>479</v>
      </c>
      <c r="C21" s="2203"/>
      <c r="D21" s="2204"/>
      <c r="E21" s="2189"/>
      <c r="F21" s="2190"/>
      <c r="G21" s="2189"/>
      <c r="H21" s="2190"/>
      <c r="I21" s="2189"/>
      <c r="J21" s="2190"/>
      <c r="K21" s="982"/>
      <c r="L21" s="981">
        <v>630</v>
      </c>
      <c r="M21" s="982"/>
      <c r="N21" s="981"/>
      <c r="O21" s="982"/>
      <c r="P21" s="981"/>
      <c r="Q21" s="2189"/>
      <c r="R21" s="2190"/>
      <c r="S21" s="2189"/>
      <c r="T21" s="2190"/>
      <c r="U21" s="2189"/>
      <c r="V21" s="2190"/>
      <c r="W21" s="982"/>
      <c r="X21" s="981"/>
      <c r="Y21" s="2189"/>
      <c r="Z21" s="2190"/>
      <c r="AA21" s="982"/>
      <c r="AB21" s="981"/>
      <c r="AC21" s="2189"/>
      <c r="AD21" s="2190"/>
      <c r="AE21" s="982"/>
      <c r="AF21" s="981"/>
      <c r="AG21" s="2189"/>
      <c r="AH21" s="2190"/>
      <c r="AI21" s="2189"/>
      <c r="AJ21" s="2190"/>
      <c r="AK21" s="2189"/>
      <c r="AL21" s="2190"/>
      <c r="AM21" s="2189"/>
      <c r="AN21" s="2244"/>
    </row>
    <row r="22" spans="1:40">
      <c r="A22" s="2211"/>
      <c r="B22" s="134" t="s">
        <v>486</v>
      </c>
      <c r="C22" s="2209" t="s">
        <v>487</v>
      </c>
      <c r="D22" s="2202"/>
      <c r="E22" s="2247" t="s">
        <v>487</v>
      </c>
      <c r="F22" s="2216"/>
      <c r="G22" s="2201"/>
      <c r="H22" s="2201"/>
      <c r="I22" s="2201"/>
      <c r="J22" s="2201"/>
      <c r="K22" s="2202"/>
      <c r="L22" s="2209" t="s">
        <v>487</v>
      </c>
      <c r="M22" s="2202"/>
      <c r="N22" s="2209" t="s">
        <v>487</v>
      </c>
      <c r="O22" s="2202"/>
      <c r="P22" s="2246" t="s">
        <v>487</v>
      </c>
      <c r="Q22" s="2201"/>
      <c r="R22" s="2202"/>
      <c r="S22" s="2252" t="s">
        <v>487</v>
      </c>
      <c r="T22" s="2207"/>
      <c r="U22" s="2247" t="s">
        <v>487</v>
      </c>
      <c r="V22" s="2216"/>
      <c r="W22" s="2201"/>
      <c r="X22" s="2209" t="s">
        <v>487</v>
      </c>
      <c r="Y22" s="2201"/>
      <c r="Z22" s="2201"/>
      <c r="AA22" s="2202"/>
      <c r="AB22" s="2209" t="s">
        <v>487</v>
      </c>
      <c r="AC22" s="2201"/>
      <c r="AD22" s="2201"/>
      <c r="AE22" s="2202"/>
      <c r="AF22" s="2246" t="s">
        <v>487</v>
      </c>
      <c r="AG22" s="2201"/>
      <c r="AH22" s="2201"/>
      <c r="AI22" s="2201"/>
      <c r="AJ22" s="2201"/>
      <c r="AK22" s="2201"/>
      <c r="AL22" s="2201"/>
      <c r="AM22" s="2201"/>
      <c r="AN22" s="2236"/>
    </row>
    <row r="23" spans="1:40">
      <c r="A23" s="2212"/>
      <c r="B23" s="135" t="s">
        <v>479</v>
      </c>
      <c r="C23" s="2208" t="s">
        <v>481</v>
      </c>
      <c r="D23" s="2190"/>
      <c r="E23" s="2189" t="s">
        <v>453</v>
      </c>
      <c r="F23" s="2190"/>
      <c r="G23" s="2189" t="s">
        <v>453</v>
      </c>
      <c r="H23" s="2190"/>
      <c r="I23" s="2189" t="s">
        <v>453</v>
      </c>
      <c r="J23" s="2190"/>
      <c r="K23" s="2189" t="s">
        <v>453</v>
      </c>
      <c r="L23" s="2190"/>
      <c r="M23" s="2189" t="s">
        <v>453</v>
      </c>
      <c r="N23" s="2190"/>
      <c r="O23" s="2189" t="s">
        <v>453</v>
      </c>
      <c r="P23" s="2190"/>
      <c r="Q23" s="2189" t="s">
        <v>453</v>
      </c>
      <c r="R23" s="2190"/>
      <c r="S23" s="2189" t="s">
        <v>453</v>
      </c>
      <c r="T23" s="2190"/>
      <c r="U23" s="2189" t="s">
        <v>453</v>
      </c>
      <c r="V23" s="2190"/>
      <c r="W23" s="2189" t="s">
        <v>453</v>
      </c>
      <c r="X23" s="2190"/>
      <c r="Y23" s="2189" t="s">
        <v>453</v>
      </c>
      <c r="Z23" s="2190"/>
      <c r="AA23" s="2189" t="s">
        <v>453</v>
      </c>
      <c r="AB23" s="2190"/>
      <c r="AC23" s="2189" t="s">
        <v>453</v>
      </c>
      <c r="AD23" s="2190"/>
      <c r="AE23" s="2189" t="s">
        <v>453</v>
      </c>
      <c r="AF23" s="2190"/>
      <c r="AG23" s="2189" t="s">
        <v>453</v>
      </c>
      <c r="AH23" s="2190"/>
      <c r="AI23" s="2189" t="s">
        <v>453</v>
      </c>
      <c r="AJ23" s="2190"/>
      <c r="AK23" s="2189" t="s">
        <v>453</v>
      </c>
      <c r="AL23" s="2190"/>
      <c r="AM23" s="2189" t="s">
        <v>453</v>
      </c>
      <c r="AN23" s="2244"/>
    </row>
    <row r="24" spans="1:40">
      <c r="A24" s="128" t="s">
        <v>488</v>
      </c>
      <c r="B24" s="129"/>
      <c r="C24" s="2200">
        <v>2530</v>
      </c>
      <c r="D24" s="2202"/>
      <c r="E24" s="2195">
        <v>2530</v>
      </c>
      <c r="F24" s="2216"/>
      <c r="G24" s="2201"/>
      <c r="H24" s="2201"/>
      <c r="I24" s="2201"/>
      <c r="J24" s="2201"/>
      <c r="K24" s="2202"/>
      <c r="L24" s="2200">
        <v>2970</v>
      </c>
      <c r="M24" s="2202"/>
      <c r="N24" s="2200">
        <v>4570</v>
      </c>
      <c r="O24" s="2202"/>
      <c r="P24" s="2245">
        <v>4790</v>
      </c>
      <c r="Q24" s="2201"/>
      <c r="R24" s="2202"/>
      <c r="S24" s="2217">
        <v>5090</v>
      </c>
      <c r="T24" s="2207"/>
      <c r="U24" s="2195">
        <v>5120</v>
      </c>
      <c r="V24" s="2216"/>
      <c r="W24" s="2201"/>
      <c r="X24" s="2200">
        <v>5390</v>
      </c>
      <c r="Y24" s="2201"/>
      <c r="Z24" s="2201"/>
      <c r="AA24" s="2202"/>
      <c r="AB24" s="2200">
        <v>6010</v>
      </c>
      <c r="AC24" s="2201"/>
      <c r="AD24" s="2201"/>
      <c r="AE24" s="2202"/>
      <c r="AF24" s="2245">
        <v>6430</v>
      </c>
      <c r="AG24" s="2201"/>
      <c r="AH24" s="2201"/>
      <c r="AI24" s="2201"/>
      <c r="AJ24" s="2201"/>
      <c r="AK24" s="2201"/>
      <c r="AL24" s="2201"/>
      <c r="AM24" s="2201"/>
      <c r="AN24" s="2236"/>
    </row>
    <row r="25" spans="1:40">
      <c r="A25" s="136" t="s">
        <v>479</v>
      </c>
      <c r="B25" s="137"/>
      <c r="C25" s="2203"/>
      <c r="D25" s="2204"/>
      <c r="E25" s="2189"/>
      <c r="F25" s="2190"/>
      <c r="G25" s="2189"/>
      <c r="H25" s="2190"/>
      <c r="I25" s="2189"/>
      <c r="J25" s="2190"/>
      <c r="K25" s="982"/>
      <c r="L25" s="981">
        <v>900</v>
      </c>
      <c r="M25" s="982"/>
      <c r="N25" s="981"/>
      <c r="O25" s="982"/>
      <c r="P25" s="981"/>
      <c r="Q25" s="2189"/>
      <c r="R25" s="2190"/>
      <c r="S25" s="2189"/>
      <c r="T25" s="2190"/>
      <c r="U25" s="2189"/>
      <c r="V25" s="2190"/>
      <c r="W25" s="982"/>
      <c r="X25" s="981"/>
      <c r="Y25" s="2189"/>
      <c r="Z25" s="2190"/>
      <c r="AA25" s="982"/>
      <c r="AB25" s="981"/>
      <c r="AC25" s="2189"/>
      <c r="AD25" s="2190"/>
      <c r="AE25" s="982"/>
      <c r="AF25" s="981"/>
      <c r="AG25" s="2189"/>
      <c r="AH25" s="2190"/>
      <c r="AI25" s="2189"/>
      <c r="AJ25" s="2190"/>
      <c r="AK25" s="2189"/>
      <c r="AL25" s="2190"/>
      <c r="AM25" s="2189"/>
      <c r="AN25" s="2244"/>
    </row>
    <row r="26" spans="1:40">
      <c r="A26" s="128" t="s">
        <v>489</v>
      </c>
      <c r="B26" s="129"/>
      <c r="C26" s="2213">
        <v>160</v>
      </c>
      <c r="D26" s="2202"/>
      <c r="E26" s="2230">
        <v>160</v>
      </c>
      <c r="F26" s="2216"/>
      <c r="G26" s="2201"/>
      <c r="H26" s="2201"/>
      <c r="I26" s="2201"/>
      <c r="J26" s="2201"/>
      <c r="K26" s="2202"/>
      <c r="L26" s="2213">
        <v>160</v>
      </c>
      <c r="M26" s="2202"/>
      <c r="N26" s="2213">
        <v>190</v>
      </c>
      <c r="O26" s="2202"/>
      <c r="P26" s="2201">
        <v>270</v>
      </c>
      <c r="Q26" s="2201"/>
      <c r="R26" s="2202"/>
      <c r="S26" s="2206">
        <v>280</v>
      </c>
      <c r="T26" s="2207"/>
      <c r="U26" s="2230">
        <v>300</v>
      </c>
      <c r="V26" s="2216"/>
      <c r="W26" s="2201"/>
      <c r="X26" s="2213">
        <v>310</v>
      </c>
      <c r="Y26" s="2201"/>
      <c r="Z26" s="2201"/>
      <c r="AA26" s="2202"/>
      <c r="AB26" s="2213">
        <v>350</v>
      </c>
      <c r="AC26" s="2201"/>
      <c r="AD26" s="2201"/>
      <c r="AE26" s="2202"/>
      <c r="AF26" s="2201">
        <v>380</v>
      </c>
      <c r="AG26" s="2201"/>
      <c r="AH26" s="2201"/>
      <c r="AI26" s="2201"/>
      <c r="AJ26" s="2201"/>
      <c r="AK26" s="2201"/>
      <c r="AL26" s="2201"/>
      <c r="AM26" s="2201"/>
      <c r="AN26" s="2236"/>
    </row>
    <row r="27" spans="1:40">
      <c r="A27" s="132" t="s">
        <v>479</v>
      </c>
      <c r="B27" s="133"/>
      <c r="C27" s="2203"/>
      <c r="D27" s="2204"/>
      <c r="E27" s="2189"/>
      <c r="F27" s="2190"/>
      <c r="G27" s="2189"/>
      <c r="H27" s="2190"/>
      <c r="I27" s="2189"/>
      <c r="J27" s="2190"/>
      <c r="K27" s="982"/>
      <c r="L27" s="981">
        <v>900</v>
      </c>
      <c r="M27" s="982"/>
      <c r="N27" s="981"/>
      <c r="O27" s="982"/>
      <c r="P27" s="981"/>
      <c r="Q27" s="2189"/>
      <c r="R27" s="2190"/>
      <c r="S27" s="2189"/>
      <c r="T27" s="2190"/>
      <c r="U27" s="2189"/>
      <c r="V27" s="2190"/>
      <c r="W27" s="982"/>
      <c r="X27" s="981"/>
      <c r="Y27" s="2189"/>
      <c r="Z27" s="2190"/>
      <c r="AA27" s="982"/>
      <c r="AB27" s="981"/>
      <c r="AC27" s="2189"/>
      <c r="AD27" s="2190"/>
      <c r="AE27" s="982"/>
      <c r="AF27" s="981"/>
      <c r="AG27" s="2189"/>
      <c r="AH27" s="2190"/>
      <c r="AI27" s="2189"/>
      <c r="AJ27" s="2190"/>
      <c r="AK27" s="2189"/>
      <c r="AL27" s="2190"/>
      <c r="AM27" s="2189"/>
      <c r="AN27" s="2244"/>
    </row>
    <row r="28" spans="1:40">
      <c r="A28" s="128" t="s">
        <v>490</v>
      </c>
      <c r="B28" s="129"/>
      <c r="C28" s="2213"/>
      <c r="D28" s="2202"/>
      <c r="E28" s="2230"/>
      <c r="F28" s="2216"/>
      <c r="G28" s="2201"/>
      <c r="H28" s="2201"/>
      <c r="I28" s="2201"/>
      <c r="J28" s="2201"/>
      <c r="K28" s="2202"/>
      <c r="L28" s="2213"/>
      <c r="M28" s="2202"/>
      <c r="N28" s="2213"/>
      <c r="O28" s="2202"/>
      <c r="P28" s="2201"/>
      <c r="Q28" s="2201"/>
      <c r="R28" s="2202"/>
      <c r="S28" s="2206"/>
      <c r="T28" s="2207"/>
      <c r="U28" s="2230"/>
      <c r="V28" s="2216"/>
      <c r="W28" s="2201"/>
      <c r="X28" s="2213"/>
      <c r="Y28" s="2201"/>
      <c r="Z28" s="2201"/>
      <c r="AA28" s="2202"/>
      <c r="AB28" s="2213"/>
      <c r="AC28" s="2201"/>
      <c r="AD28" s="2201"/>
      <c r="AE28" s="2202"/>
      <c r="AF28" s="2201"/>
      <c r="AG28" s="2201"/>
      <c r="AH28" s="2201"/>
      <c r="AI28" s="2201"/>
      <c r="AJ28" s="2201"/>
      <c r="AK28" s="2201"/>
      <c r="AL28" s="2201"/>
      <c r="AM28" s="2201"/>
      <c r="AN28" s="2236"/>
    </row>
    <row r="29" spans="1:40" ht="13.5" thickBot="1">
      <c r="A29" s="138" t="s">
        <v>479</v>
      </c>
      <c r="B29" s="139"/>
      <c r="C29" s="2231"/>
      <c r="D29" s="2232"/>
      <c r="E29" s="2198"/>
      <c r="F29" s="2199"/>
      <c r="G29" s="2198"/>
      <c r="H29" s="2199"/>
      <c r="I29" s="2198"/>
      <c r="J29" s="2199"/>
      <c r="K29" s="983"/>
      <c r="L29" s="984">
        <v>900</v>
      </c>
      <c r="M29" s="982"/>
      <c r="N29" s="981"/>
      <c r="O29" s="982"/>
      <c r="P29" s="981"/>
      <c r="Q29" s="2198"/>
      <c r="R29" s="2199"/>
      <c r="S29" s="2198"/>
      <c r="T29" s="2199"/>
      <c r="U29" s="2198"/>
      <c r="V29" s="2199"/>
      <c r="W29" s="982"/>
      <c r="X29" s="981"/>
      <c r="Y29" s="2198"/>
      <c r="Z29" s="2199"/>
      <c r="AA29" s="982"/>
      <c r="AB29" s="981"/>
      <c r="AC29" s="2198"/>
      <c r="AD29" s="2199"/>
      <c r="AE29" s="982"/>
      <c r="AF29" s="981"/>
      <c r="AG29" s="2198"/>
      <c r="AH29" s="2199"/>
      <c r="AI29" s="2198"/>
      <c r="AJ29" s="2199"/>
      <c r="AK29" s="2198"/>
      <c r="AL29" s="2199"/>
      <c r="AM29" s="2198"/>
      <c r="AN29" s="2243"/>
    </row>
    <row r="30" spans="1:40" ht="14.5" thickBot="1">
      <c r="A30" s="140"/>
      <c r="B30" s="141"/>
      <c r="C30" s="141"/>
      <c r="D30" s="141"/>
      <c r="E30" s="142"/>
      <c r="F30" s="142"/>
      <c r="G30" s="142"/>
      <c r="H30" s="142"/>
      <c r="I30" s="142"/>
      <c r="J30" s="143"/>
      <c r="K30" s="142"/>
      <c r="L30" s="143"/>
      <c r="M30" s="142"/>
      <c r="N30" s="143"/>
      <c r="O30" s="142"/>
      <c r="P30" s="143"/>
      <c r="Q30" s="142"/>
      <c r="R30" s="143"/>
      <c r="S30" s="142"/>
      <c r="T30" s="143"/>
      <c r="U30" s="142"/>
      <c r="V30" s="142"/>
      <c r="W30" s="142"/>
      <c r="X30" s="143"/>
      <c r="Y30" s="142"/>
      <c r="Z30" s="143"/>
      <c r="AA30" s="142"/>
      <c r="AB30" s="143"/>
      <c r="AC30" s="142"/>
      <c r="AD30" s="142"/>
      <c r="AE30" s="142"/>
      <c r="AF30" s="143"/>
      <c r="AG30" s="142"/>
      <c r="AH30" s="143"/>
      <c r="AI30" s="142"/>
      <c r="AJ30" s="143"/>
      <c r="AK30" s="142"/>
      <c r="AL30" s="142"/>
      <c r="AM30" s="144"/>
      <c r="AN30" s="144"/>
    </row>
    <row r="31" spans="1:40" ht="14">
      <c r="A31" s="112" t="s">
        <v>455</v>
      </c>
      <c r="B31" s="113"/>
      <c r="C31" s="2253">
        <v>10</v>
      </c>
      <c r="D31" s="2254"/>
      <c r="E31" s="2254"/>
      <c r="F31" s="2254"/>
      <c r="G31" s="2254"/>
      <c r="H31" s="2237">
        <v>11</v>
      </c>
      <c r="I31" s="2238"/>
      <c r="J31" s="2238"/>
      <c r="K31" s="2238"/>
      <c r="L31" s="2238"/>
      <c r="M31" s="2238"/>
      <c r="N31" s="2238"/>
      <c r="O31" s="2238"/>
      <c r="P31" s="2238"/>
      <c r="Q31" s="2238"/>
      <c r="R31" s="2238"/>
      <c r="S31" s="2238"/>
      <c r="T31" s="2238"/>
      <c r="U31" s="2238"/>
      <c r="V31" s="2238"/>
      <c r="W31" s="2238"/>
      <c r="X31" s="2238"/>
      <c r="Y31" s="2238"/>
      <c r="Z31" s="2238"/>
      <c r="AA31" s="2239"/>
      <c r="AB31" s="2237">
        <v>12</v>
      </c>
      <c r="AC31" s="2238"/>
      <c r="AD31" s="2238"/>
      <c r="AE31" s="2238"/>
      <c r="AF31" s="2238"/>
      <c r="AG31" s="2238"/>
      <c r="AH31" s="2238"/>
      <c r="AI31" s="2238"/>
      <c r="AJ31" s="2239"/>
      <c r="AK31" s="2240">
        <v>13</v>
      </c>
      <c r="AL31" s="2241"/>
      <c r="AM31" s="2241"/>
      <c r="AN31" s="2242"/>
    </row>
    <row r="32" spans="1:40" ht="14">
      <c r="A32" s="114" t="s">
        <v>456</v>
      </c>
      <c r="B32" s="115"/>
      <c r="C32" s="2255" t="s">
        <v>475</v>
      </c>
      <c r="D32" s="2256"/>
      <c r="E32" s="2255" t="s">
        <v>491</v>
      </c>
      <c r="F32" s="2256"/>
      <c r="G32" s="122" t="s">
        <v>492</v>
      </c>
      <c r="H32" s="145"/>
      <c r="I32" s="2257" t="s">
        <v>493</v>
      </c>
      <c r="J32" s="2258"/>
      <c r="K32" s="2228" t="s">
        <v>494</v>
      </c>
      <c r="L32" s="2259"/>
      <c r="M32" s="2228" t="s">
        <v>495</v>
      </c>
      <c r="N32" s="2259"/>
      <c r="O32" s="2228" t="s">
        <v>496</v>
      </c>
      <c r="P32" s="2229"/>
      <c r="Q32" s="2225" t="s">
        <v>497</v>
      </c>
      <c r="R32" s="2225"/>
      <c r="S32" s="2225" t="s">
        <v>498</v>
      </c>
      <c r="T32" s="2225"/>
      <c r="U32" s="2225" t="s">
        <v>499</v>
      </c>
      <c r="V32" s="2225"/>
      <c r="W32" s="2225" t="s">
        <v>500</v>
      </c>
      <c r="X32" s="2225"/>
      <c r="Y32" s="2225" t="s">
        <v>501</v>
      </c>
      <c r="Z32" s="2225"/>
      <c r="AA32" s="146" t="s">
        <v>502</v>
      </c>
      <c r="AB32" s="147"/>
      <c r="AC32" s="2249" t="s">
        <v>503</v>
      </c>
      <c r="AD32" s="2249"/>
      <c r="AE32" s="2249" t="s">
        <v>504</v>
      </c>
      <c r="AF32" s="2249"/>
      <c r="AG32" s="2249" t="s">
        <v>505</v>
      </c>
      <c r="AH32" s="2249"/>
      <c r="AI32" s="2250" t="s">
        <v>506</v>
      </c>
      <c r="AJ32" s="2251"/>
      <c r="AK32" s="2269" t="s">
        <v>634</v>
      </c>
      <c r="AL32" s="2278"/>
      <c r="AM32" s="2269" t="s">
        <v>635</v>
      </c>
      <c r="AN32" s="2270"/>
    </row>
    <row r="33" spans="1:40">
      <c r="A33" s="2271" t="s">
        <v>454</v>
      </c>
      <c r="B33" s="2227"/>
      <c r="C33" s="2226">
        <f>E33+1</f>
        <v>21</v>
      </c>
      <c r="D33" s="2227"/>
      <c r="E33" s="2226">
        <f>G33+1</f>
        <v>20</v>
      </c>
      <c r="F33" s="2227"/>
      <c r="G33" s="2226">
        <f>I33+1</f>
        <v>19</v>
      </c>
      <c r="H33" s="2227"/>
      <c r="I33" s="2226">
        <f>K33+1</f>
        <v>18</v>
      </c>
      <c r="J33" s="2227"/>
      <c r="K33" s="2226">
        <f>M33+1</f>
        <v>17</v>
      </c>
      <c r="L33" s="2227"/>
      <c r="M33" s="2226">
        <f>O33+1</f>
        <v>16</v>
      </c>
      <c r="N33" s="2227"/>
      <c r="O33" s="2226">
        <f>Q33+1</f>
        <v>15</v>
      </c>
      <c r="P33" s="2227"/>
      <c r="Q33" s="2226">
        <f>S33+1</f>
        <v>14</v>
      </c>
      <c r="R33" s="2227"/>
      <c r="S33" s="2226">
        <f>U33+1</f>
        <v>13</v>
      </c>
      <c r="T33" s="2227"/>
      <c r="U33" s="2226">
        <f>W33+1</f>
        <v>12</v>
      </c>
      <c r="V33" s="2227"/>
      <c r="W33" s="2226">
        <f>Y33+1</f>
        <v>11</v>
      </c>
      <c r="X33" s="2227"/>
      <c r="Y33" s="2226">
        <f>AA33+1</f>
        <v>10</v>
      </c>
      <c r="Z33" s="2227"/>
      <c r="AA33" s="2226">
        <f>AC33+1</f>
        <v>9</v>
      </c>
      <c r="AB33" s="2227"/>
      <c r="AC33" s="2226">
        <f>AE33+1</f>
        <v>8</v>
      </c>
      <c r="AD33" s="2227"/>
      <c r="AE33" s="2226">
        <f>AG33+1</f>
        <v>7</v>
      </c>
      <c r="AF33" s="2227"/>
      <c r="AG33" s="2226">
        <f>AI33+1</f>
        <v>6</v>
      </c>
      <c r="AH33" s="2227"/>
      <c r="AI33" s="2226">
        <f>AK33+1</f>
        <v>5</v>
      </c>
      <c r="AJ33" s="2227"/>
      <c r="AK33" s="2226">
        <f>AM33+1</f>
        <v>4</v>
      </c>
      <c r="AL33" s="2227"/>
      <c r="AM33" s="2226">
        <f>C59+1</f>
        <v>3</v>
      </c>
      <c r="AN33" s="2279"/>
    </row>
    <row r="34" spans="1:40" ht="14">
      <c r="A34" s="128" t="s">
        <v>478</v>
      </c>
      <c r="B34" s="129"/>
      <c r="C34" s="2200">
        <v>10350</v>
      </c>
      <c r="D34" s="2201"/>
      <c r="E34" s="2201"/>
      <c r="F34" s="2201"/>
      <c r="G34" s="2202"/>
      <c r="H34" s="2195">
        <v>10485</v>
      </c>
      <c r="I34" s="2201"/>
      <c r="J34" s="2201"/>
      <c r="K34" s="2201"/>
      <c r="L34" s="2201"/>
      <c r="M34" s="2201"/>
      <c r="N34" s="2201"/>
      <c r="O34" s="2201"/>
      <c r="P34" s="2201"/>
      <c r="Q34" s="2201"/>
      <c r="R34" s="2201"/>
      <c r="S34" s="2201"/>
      <c r="T34" s="2201"/>
      <c r="U34" s="2201"/>
      <c r="V34" s="2201"/>
      <c r="W34" s="2201"/>
      <c r="X34" s="2201"/>
      <c r="Y34" s="2201"/>
      <c r="Z34" s="2201"/>
      <c r="AA34" s="2202"/>
      <c r="AB34" s="2200">
        <v>12670</v>
      </c>
      <c r="AC34" s="2201"/>
      <c r="AD34" s="2201"/>
      <c r="AE34" s="2201"/>
      <c r="AF34" s="2201"/>
      <c r="AG34" s="2201"/>
      <c r="AH34" s="2201"/>
      <c r="AI34" s="2201"/>
      <c r="AJ34" s="2202"/>
      <c r="AK34" s="2219">
        <v>11520</v>
      </c>
      <c r="AL34" s="2196"/>
      <c r="AM34" s="2196"/>
      <c r="AN34" s="2248"/>
    </row>
    <row r="35" spans="1:40">
      <c r="A35" s="132" t="s">
        <v>479</v>
      </c>
      <c r="B35" s="133"/>
      <c r="C35" s="2203"/>
      <c r="D35" s="2204"/>
      <c r="E35" s="2189"/>
      <c r="F35" s="2190"/>
      <c r="G35" s="982"/>
      <c r="H35" s="981">
        <v>100</v>
      </c>
      <c r="I35" s="2189"/>
      <c r="J35" s="2190"/>
      <c r="K35" s="2189"/>
      <c r="L35" s="2190"/>
      <c r="M35" s="2189"/>
      <c r="N35" s="2190"/>
      <c r="O35" s="2189"/>
      <c r="P35" s="2190"/>
      <c r="Q35" s="2189"/>
      <c r="R35" s="2190"/>
      <c r="S35" s="2189"/>
      <c r="T35" s="2190"/>
      <c r="U35" s="2189"/>
      <c r="V35" s="2190"/>
      <c r="W35" s="2189"/>
      <c r="X35" s="2190"/>
      <c r="Y35" s="2189"/>
      <c r="Z35" s="2190"/>
      <c r="AA35" s="982"/>
      <c r="AB35" s="981"/>
      <c r="AC35" s="2189"/>
      <c r="AD35" s="2190"/>
      <c r="AE35" s="2189"/>
      <c r="AF35" s="2190"/>
      <c r="AG35" s="2189"/>
      <c r="AH35" s="2190"/>
      <c r="AI35" s="2189"/>
      <c r="AJ35" s="2190"/>
      <c r="AK35" s="2187"/>
      <c r="AL35" s="2192"/>
      <c r="AM35" s="2187"/>
      <c r="AN35" s="2188"/>
    </row>
    <row r="36" spans="1:40" ht="14">
      <c r="A36" s="128" t="s">
        <v>480</v>
      </c>
      <c r="B36" s="129"/>
      <c r="C36" s="2200">
        <v>1680</v>
      </c>
      <c r="D36" s="2201"/>
      <c r="E36" s="2201"/>
      <c r="F36" s="2201"/>
      <c r="G36" s="2202"/>
      <c r="H36" s="2195">
        <v>1700</v>
      </c>
      <c r="I36" s="2196"/>
      <c r="J36" s="2196"/>
      <c r="K36" s="2196"/>
      <c r="L36" s="2196"/>
      <c r="M36" s="2196"/>
      <c r="N36" s="2196"/>
      <c r="O36" s="2196"/>
      <c r="P36" s="2196"/>
      <c r="Q36" s="2196"/>
      <c r="R36" s="2196"/>
      <c r="S36" s="2196"/>
      <c r="T36" s="2196"/>
      <c r="U36" s="2196"/>
      <c r="V36" s="2196"/>
      <c r="W36" s="2196"/>
      <c r="X36" s="2196"/>
      <c r="Y36" s="2196"/>
      <c r="Z36" s="2196"/>
      <c r="AA36" s="2197"/>
      <c r="AB36" s="2200">
        <v>4960</v>
      </c>
      <c r="AC36" s="2201"/>
      <c r="AD36" s="2201"/>
      <c r="AE36" s="2201"/>
      <c r="AF36" s="2201"/>
      <c r="AG36" s="2201"/>
      <c r="AH36" s="2201"/>
      <c r="AI36" s="2201"/>
      <c r="AJ36" s="2202"/>
      <c r="AK36" s="2219">
        <v>4430</v>
      </c>
      <c r="AL36" s="2220"/>
      <c r="AM36" s="2220"/>
      <c r="AN36" s="2221"/>
    </row>
    <row r="37" spans="1:40">
      <c r="A37" s="132" t="s">
        <v>479</v>
      </c>
      <c r="B37" s="133"/>
      <c r="C37" s="2203"/>
      <c r="D37" s="2204"/>
      <c r="E37" s="2189"/>
      <c r="F37" s="2190"/>
      <c r="G37" s="982"/>
      <c r="H37" s="981">
        <v>100</v>
      </c>
      <c r="I37" s="2189"/>
      <c r="J37" s="2190"/>
      <c r="K37" s="2189"/>
      <c r="L37" s="2190"/>
      <c r="M37" s="2189"/>
      <c r="N37" s="2190"/>
      <c r="O37" s="2189"/>
      <c r="P37" s="2190"/>
      <c r="Q37" s="2189"/>
      <c r="R37" s="2190"/>
      <c r="S37" s="2189"/>
      <c r="T37" s="2190"/>
      <c r="U37" s="2189"/>
      <c r="V37" s="2190"/>
      <c r="W37" s="2189"/>
      <c r="X37" s="2190"/>
      <c r="Y37" s="2189"/>
      <c r="Z37" s="2190"/>
      <c r="AA37" s="982"/>
      <c r="AB37" s="981"/>
      <c r="AC37" s="2189"/>
      <c r="AD37" s="2190"/>
      <c r="AE37" s="2189"/>
      <c r="AF37" s="2190"/>
      <c r="AG37" s="2189"/>
      <c r="AH37" s="2190"/>
      <c r="AI37" s="2189"/>
      <c r="AJ37" s="2190"/>
      <c r="AK37" s="2187"/>
      <c r="AL37" s="2192"/>
      <c r="AM37" s="2187"/>
      <c r="AN37" s="2188"/>
    </row>
    <row r="38" spans="1:40" ht="14">
      <c r="A38" s="128" t="s">
        <v>482</v>
      </c>
      <c r="B38" s="129"/>
      <c r="C38" s="2200">
        <v>5960</v>
      </c>
      <c r="D38" s="2201"/>
      <c r="E38" s="2201"/>
      <c r="F38" s="2201"/>
      <c r="G38" s="2202"/>
      <c r="H38" s="2195">
        <v>6040</v>
      </c>
      <c r="I38" s="2196"/>
      <c r="J38" s="2196"/>
      <c r="K38" s="2196"/>
      <c r="L38" s="2196"/>
      <c r="M38" s="2196"/>
      <c r="N38" s="2196"/>
      <c r="O38" s="2196"/>
      <c r="P38" s="2196"/>
      <c r="Q38" s="2196"/>
      <c r="R38" s="2196"/>
      <c r="S38" s="2196"/>
      <c r="T38" s="2196"/>
      <c r="U38" s="2196"/>
      <c r="V38" s="2196"/>
      <c r="W38" s="2196"/>
      <c r="X38" s="2196"/>
      <c r="Y38" s="2196"/>
      <c r="Z38" s="2196"/>
      <c r="AA38" s="2197"/>
      <c r="AB38" s="2200">
        <v>10590</v>
      </c>
      <c r="AC38" s="2201"/>
      <c r="AD38" s="2201"/>
      <c r="AE38" s="2201"/>
      <c r="AF38" s="2201"/>
      <c r="AG38" s="2201"/>
      <c r="AH38" s="2201"/>
      <c r="AI38" s="2201"/>
      <c r="AJ38" s="2202"/>
      <c r="AK38" s="2219">
        <v>10560</v>
      </c>
      <c r="AL38" s="2220"/>
      <c r="AM38" s="2220"/>
      <c r="AN38" s="2221"/>
    </row>
    <row r="39" spans="1:40">
      <c r="A39" s="132" t="s">
        <v>479</v>
      </c>
      <c r="B39" s="133"/>
      <c r="C39" s="2203"/>
      <c r="D39" s="2204"/>
      <c r="E39" s="2189"/>
      <c r="F39" s="2190"/>
      <c r="G39" s="982"/>
      <c r="H39" s="981">
        <v>100</v>
      </c>
      <c r="I39" s="2189"/>
      <c r="J39" s="2190"/>
      <c r="K39" s="2189"/>
      <c r="L39" s="2190"/>
      <c r="M39" s="2189"/>
      <c r="N39" s="2190"/>
      <c r="O39" s="2189"/>
      <c r="P39" s="2190"/>
      <c r="Q39" s="2189"/>
      <c r="R39" s="2190"/>
      <c r="S39" s="2189"/>
      <c r="T39" s="2190"/>
      <c r="U39" s="2189"/>
      <c r="V39" s="2190"/>
      <c r="W39" s="2189"/>
      <c r="X39" s="2190"/>
      <c r="Y39" s="2189"/>
      <c r="Z39" s="2190"/>
      <c r="AA39" s="982"/>
      <c r="AB39" s="981"/>
      <c r="AC39" s="2189"/>
      <c r="AD39" s="2190"/>
      <c r="AE39" s="2189"/>
      <c r="AF39" s="2190"/>
      <c r="AG39" s="2189"/>
      <c r="AH39" s="2190"/>
      <c r="AI39" s="2189"/>
      <c r="AJ39" s="2190"/>
      <c r="AK39" s="2187"/>
      <c r="AL39" s="2192"/>
      <c r="AM39" s="2187"/>
      <c r="AN39" s="2188"/>
    </row>
    <row r="40" spans="1:40" ht="14">
      <c r="A40" s="128" t="s">
        <v>483</v>
      </c>
      <c r="B40" s="129"/>
      <c r="C40" s="2200">
        <v>5810</v>
      </c>
      <c r="D40" s="2201"/>
      <c r="E40" s="2201"/>
      <c r="F40" s="2201"/>
      <c r="G40" s="2202"/>
      <c r="H40" s="2195">
        <v>5885</v>
      </c>
      <c r="I40" s="2196"/>
      <c r="J40" s="2196"/>
      <c r="K40" s="2196"/>
      <c r="L40" s="2196"/>
      <c r="M40" s="2196"/>
      <c r="N40" s="2196"/>
      <c r="O40" s="2196"/>
      <c r="P40" s="2196"/>
      <c r="Q40" s="2196"/>
      <c r="R40" s="2196"/>
      <c r="S40" s="2196"/>
      <c r="T40" s="2196"/>
      <c r="U40" s="2196"/>
      <c r="V40" s="2196"/>
      <c r="W40" s="2196"/>
      <c r="X40" s="2196"/>
      <c r="Y40" s="2196"/>
      <c r="Z40" s="2196"/>
      <c r="AA40" s="2197"/>
      <c r="AB40" s="2200">
        <v>5270</v>
      </c>
      <c r="AC40" s="2201"/>
      <c r="AD40" s="2201"/>
      <c r="AE40" s="2201"/>
      <c r="AF40" s="2201"/>
      <c r="AG40" s="2201"/>
      <c r="AH40" s="2201"/>
      <c r="AI40" s="2201"/>
      <c r="AJ40" s="2202"/>
      <c r="AK40" s="2219">
        <v>4560</v>
      </c>
      <c r="AL40" s="2220"/>
      <c r="AM40" s="2220"/>
      <c r="AN40" s="2221"/>
    </row>
    <row r="41" spans="1:40">
      <c r="A41" s="132" t="s">
        <v>479</v>
      </c>
      <c r="B41" s="133"/>
      <c r="C41" s="2203"/>
      <c r="D41" s="2204"/>
      <c r="E41" s="2189"/>
      <c r="F41" s="2190"/>
      <c r="G41" s="982"/>
      <c r="H41" s="981">
        <v>100</v>
      </c>
      <c r="I41" s="2189"/>
      <c r="J41" s="2190"/>
      <c r="K41" s="2189"/>
      <c r="L41" s="2190"/>
      <c r="M41" s="2189"/>
      <c r="N41" s="2190"/>
      <c r="O41" s="2189"/>
      <c r="P41" s="2190"/>
      <c r="Q41" s="2189"/>
      <c r="R41" s="2190"/>
      <c r="S41" s="2189"/>
      <c r="T41" s="2190"/>
      <c r="U41" s="2189"/>
      <c r="V41" s="2190"/>
      <c r="W41" s="2189"/>
      <c r="X41" s="2190"/>
      <c r="Y41" s="2189"/>
      <c r="Z41" s="2190"/>
      <c r="AA41" s="982"/>
      <c r="AB41" s="981"/>
      <c r="AC41" s="2189"/>
      <c r="AD41" s="2190"/>
      <c r="AE41" s="2189"/>
      <c r="AF41" s="2190"/>
      <c r="AG41" s="2189"/>
      <c r="AH41" s="2190"/>
      <c r="AI41" s="2189"/>
      <c r="AJ41" s="2190"/>
      <c r="AK41" s="2187"/>
      <c r="AL41" s="2192"/>
      <c r="AM41" s="2187"/>
      <c r="AN41" s="2188"/>
    </row>
    <row r="42" spans="1:40" ht="14">
      <c r="A42" s="2210" t="s">
        <v>637</v>
      </c>
      <c r="B42" s="134" t="s">
        <v>485</v>
      </c>
      <c r="C42" s="2200">
        <v>15730</v>
      </c>
      <c r="D42" s="2201"/>
      <c r="E42" s="2201"/>
      <c r="F42" s="2201"/>
      <c r="G42" s="2202"/>
      <c r="H42" s="2195">
        <v>15935</v>
      </c>
      <c r="I42" s="2196"/>
      <c r="J42" s="2196"/>
      <c r="K42" s="2196"/>
      <c r="L42" s="2196"/>
      <c r="M42" s="2196"/>
      <c r="N42" s="2196"/>
      <c r="O42" s="2196"/>
      <c r="P42" s="2196"/>
      <c r="Q42" s="2196"/>
      <c r="R42" s="2196"/>
      <c r="S42" s="2196"/>
      <c r="T42" s="2196"/>
      <c r="U42" s="2196"/>
      <c r="V42" s="2196"/>
      <c r="W42" s="2196"/>
      <c r="X42" s="2196"/>
      <c r="Y42" s="2196"/>
      <c r="Z42" s="2196"/>
      <c r="AA42" s="2197"/>
      <c r="AB42" s="2200">
        <v>26170</v>
      </c>
      <c r="AC42" s="2201"/>
      <c r="AD42" s="2201"/>
      <c r="AE42" s="2201"/>
      <c r="AF42" s="2201"/>
      <c r="AG42" s="2201"/>
      <c r="AH42" s="2201"/>
      <c r="AI42" s="2201"/>
      <c r="AJ42" s="2202"/>
      <c r="AK42" s="2219">
        <v>30570</v>
      </c>
      <c r="AL42" s="2220"/>
      <c r="AM42" s="2220"/>
      <c r="AN42" s="2221"/>
    </row>
    <row r="43" spans="1:40">
      <c r="A43" s="2211"/>
      <c r="B43" s="135" t="s">
        <v>479</v>
      </c>
      <c r="C43" s="2203"/>
      <c r="D43" s="2204"/>
      <c r="E43" s="2189"/>
      <c r="F43" s="2190"/>
      <c r="G43" s="982"/>
      <c r="H43" s="981"/>
      <c r="I43" s="2189"/>
      <c r="J43" s="2190"/>
      <c r="K43" s="2189"/>
      <c r="L43" s="2190"/>
      <c r="M43" s="2189"/>
      <c r="N43" s="2190"/>
      <c r="O43" s="2189"/>
      <c r="P43" s="2190"/>
      <c r="Q43" s="2189"/>
      <c r="R43" s="2190"/>
      <c r="S43" s="2189"/>
      <c r="T43" s="2190"/>
      <c r="U43" s="2189"/>
      <c r="V43" s="2190"/>
      <c r="W43" s="2189"/>
      <c r="X43" s="2190"/>
      <c r="Y43" s="2189"/>
      <c r="Z43" s="2190"/>
      <c r="AA43" s="982"/>
      <c r="AB43" s="981"/>
      <c r="AC43" s="2189"/>
      <c r="AD43" s="2190"/>
      <c r="AE43" s="2189"/>
      <c r="AF43" s="2190"/>
      <c r="AG43" s="2189"/>
      <c r="AH43" s="2190"/>
      <c r="AI43" s="2189"/>
      <c r="AJ43" s="2190"/>
      <c r="AK43" s="2187"/>
      <c r="AL43" s="2192"/>
      <c r="AM43" s="2187"/>
      <c r="AN43" s="2188"/>
    </row>
    <row r="44" spans="1:40" ht="14">
      <c r="A44" s="2211"/>
      <c r="B44" s="134" t="s">
        <v>486</v>
      </c>
      <c r="C44" s="2200">
        <v>19600</v>
      </c>
      <c r="D44" s="2201"/>
      <c r="E44" s="2201"/>
      <c r="F44" s="2201"/>
      <c r="G44" s="2202"/>
      <c r="H44" s="2195">
        <v>19855</v>
      </c>
      <c r="I44" s="2196"/>
      <c r="J44" s="2196"/>
      <c r="K44" s="2196"/>
      <c r="L44" s="2196"/>
      <c r="M44" s="2196"/>
      <c r="N44" s="2196"/>
      <c r="O44" s="2196"/>
      <c r="P44" s="2196"/>
      <c r="Q44" s="2196"/>
      <c r="R44" s="2196"/>
      <c r="S44" s="2196"/>
      <c r="T44" s="2196"/>
      <c r="U44" s="2196"/>
      <c r="V44" s="2196"/>
      <c r="W44" s="2196"/>
      <c r="X44" s="2196"/>
      <c r="Y44" s="2196"/>
      <c r="Z44" s="2196"/>
      <c r="AA44" s="2197"/>
      <c r="AB44" s="2200">
        <v>32810</v>
      </c>
      <c r="AC44" s="2201"/>
      <c r="AD44" s="2201"/>
      <c r="AE44" s="2201"/>
      <c r="AF44" s="2201"/>
      <c r="AG44" s="2201"/>
      <c r="AH44" s="2201"/>
      <c r="AI44" s="2201"/>
      <c r="AJ44" s="2202"/>
      <c r="AK44" s="2219">
        <v>32380</v>
      </c>
      <c r="AL44" s="2220"/>
      <c r="AM44" s="2220"/>
      <c r="AN44" s="2221"/>
    </row>
    <row r="45" spans="1:40">
      <c r="A45" s="2212"/>
      <c r="B45" s="135" t="s">
        <v>479</v>
      </c>
      <c r="C45" s="2203"/>
      <c r="D45" s="2204"/>
      <c r="E45" s="2189"/>
      <c r="F45" s="2190"/>
      <c r="G45" s="982"/>
      <c r="H45" s="981">
        <v>50</v>
      </c>
      <c r="I45" s="2189"/>
      <c r="J45" s="2190"/>
      <c r="K45" s="2189"/>
      <c r="L45" s="2190"/>
      <c r="M45" s="2189"/>
      <c r="N45" s="2190"/>
      <c r="O45" s="2189"/>
      <c r="P45" s="2190"/>
      <c r="Q45" s="2189"/>
      <c r="R45" s="2190"/>
      <c r="S45" s="2189"/>
      <c r="T45" s="2190"/>
      <c r="U45" s="2189"/>
      <c r="V45" s="2190"/>
      <c r="W45" s="2189"/>
      <c r="X45" s="2190"/>
      <c r="Y45" s="2189"/>
      <c r="Z45" s="2190"/>
      <c r="AA45" s="982"/>
      <c r="AB45" s="981"/>
      <c r="AC45" s="2189"/>
      <c r="AD45" s="2190"/>
      <c r="AE45" s="2189"/>
      <c r="AF45" s="2190"/>
      <c r="AG45" s="2189"/>
      <c r="AH45" s="2190"/>
      <c r="AI45" s="2189">
        <v>50</v>
      </c>
      <c r="AJ45" s="2190"/>
      <c r="AK45" s="2187"/>
      <c r="AL45" s="2192"/>
      <c r="AM45" s="2187"/>
      <c r="AN45" s="2188"/>
    </row>
    <row r="46" spans="1:40" ht="14">
      <c r="A46" s="2210" t="s">
        <v>507</v>
      </c>
      <c r="B46" s="134" t="s">
        <v>485</v>
      </c>
      <c r="C46" s="2200">
        <v>53160</v>
      </c>
      <c r="D46" s="2201"/>
      <c r="E46" s="2201"/>
      <c r="F46" s="2201"/>
      <c r="G46" s="2202"/>
      <c r="H46" s="2195">
        <v>53850</v>
      </c>
      <c r="I46" s="2196"/>
      <c r="J46" s="2196"/>
      <c r="K46" s="2196"/>
      <c r="L46" s="2196"/>
      <c r="M46" s="2196"/>
      <c r="N46" s="2196"/>
      <c r="O46" s="2196"/>
      <c r="P46" s="2196"/>
      <c r="Q46" s="2196"/>
      <c r="R46" s="2196"/>
      <c r="S46" s="2196"/>
      <c r="T46" s="2196"/>
      <c r="U46" s="2196"/>
      <c r="V46" s="2196"/>
      <c r="W46" s="2196"/>
      <c r="X46" s="2196"/>
      <c r="Y46" s="2196"/>
      <c r="Z46" s="2196"/>
      <c r="AA46" s="2197"/>
      <c r="AB46" s="2200">
        <v>88660</v>
      </c>
      <c r="AC46" s="2201"/>
      <c r="AD46" s="2201"/>
      <c r="AE46" s="2201"/>
      <c r="AF46" s="2201"/>
      <c r="AG46" s="2201"/>
      <c r="AH46" s="2201"/>
      <c r="AI46" s="2201"/>
      <c r="AJ46" s="2202"/>
      <c r="AK46" s="2219">
        <v>98230</v>
      </c>
      <c r="AL46" s="2220"/>
      <c r="AM46" s="2220"/>
      <c r="AN46" s="2221"/>
    </row>
    <row r="47" spans="1:40">
      <c r="A47" s="2211"/>
      <c r="B47" s="135" t="s">
        <v>479</v>
      </c>
      <c r="C47" s="2203"/>
      <c r="D47" s="2204"/>
      <c r="E47" s="2189"/>
      <c r="F47" s="2190"/>
      <c r="G47" s="982"/>
      <c r="H47" s="981">
        <v>100</v>
      </c>
      <c r="I47" s="2189"/>
      <c r="J47" s="2190"/>
      <c r="K47" s="2189"/>
      <c r="L47" s="2190"/>
      <c r="M47" s="2189"/>
      <c r="N47" s="2190"/>
      <c r="O47" s="2189"/>
      <c r="P47" s="2190"/>
      <c r="Q47" s="2189"/>
      <c r="R47" s="2190"/>
      <c r="S47" s="2189"/>
      <c r="T47" s="2190"/>
      <c r="U47" s="2189"/>
      <c r="V47" s="2190"/>
      <c r="W47" s="2189"/>
      <c r="X47" s="2190"/>
      <c r="Y47" s="2189"/>
      <c r="Z47" s="2190"/>
      <c r="AA47" s="982"/>
      <c r="AB47" s="981"/>
      <c r="AC47" s="2189"/>
      <c r="AD47" s="2190"/>
      <c r="AE47" s="2189"/>
      <c r="AF47" s="2190"/>
      <c r="AG47" s="2189"/>
      <c r="AH47" s="2190"/>
      <c r="AI47" s="2189"/>
      <c r="AJ47" s="2190"/>
      <c r="AK47" s="2187"/>
      <c r="AL47" s="2192"/>
      <c r="AM47" s="2187"/>
      <c r="AN47" s="2188"/>
    </row>
    <row r="48" spans="1:40" ht="14">
      <c r="A48" s="2211"/>
      <c r="B48" s="134" t="s">
        <v>486</v>
      </c>
      <c r="C48" s="2200">
        <v>62120</v>
      </c>
      <c r="D48" s="2201"/>
      <c r="E48" s="2201"/>
      <c r="F48" s="2201"/>
      <c r="G48" s="2202"/>
      <c r="H48" s="2195">
        <v>62930</v>
      </c>
      <c r="I48" s="2196"/>
      <c r="J48" s="2196"/>
      <c r="K48" s="2196"/>
      <c r="L48" s="2196"/>
      <c r="M48" s="2196"/>
      <c r="N48" s="2196"/>
      <c r="O48" s="2196"/>
      <c r="P48" s="2196"/>
      <c r="Q48" s="2196"/>
      <c r="R48" s="2196"/>
      <c r="S48" s="2196"/>
      <c r="T48" s="2196"/>
      <c r="U48" s="2196"/>
      <c r="V48" s="2196"/>
      <c r="W48" s="2196"/>
      <c r="X48" s="2196"/>
      <c r="Y48" s="2196"/>
      <c r="Z48" s="2196"/>
      <c r="AA48" s="2197"/>
      <c r="AB48" s="2200">
        <v>108630</v>
      </c>
      <c r="AC48" s="2201"/>
      <c r="AD48" s="2201"/>
      <c r="AE48" s="2201"/>
      <c r="AF48" s="2201"/>
      <c r="AG48" s="2201"/>
      <c r="AH48" s="2201"/>
      <c r="AI48" s="2201"/>
      <c r="AJ48" s="2202"/>
      <c r="AK48" s="2219">
        <v>105990</v>
      </c>
      <c r="AL48" s="2220"/>
      <c r="AM48" s="2220"/>
      <c r="AN48" s="2221"/>
    </row>
    <row r="49" spans="1:43">
      <c r="A49" s="2212"/>
      <c r="B49" s="135" t="s">
        <v>479</v>
      </c>
      <c r="C49" s="2203"/>
      <c r="D49" s="2204"/>
      <c r="E49" s="2189"/>
      <c r="F49" s="2190"/>
      <c r="G49" s="982"/>
      <c r="H49" s="981">
        <v>30</v>
      </c>
      <c r="I49" s="2189"/>
      <c r="J49" s="2190"/>
      <c r="K49" s="2189"/>
      <c r="L49" s="2190"/>
      <c r="M49" s="2189"/>
      <c r="N49" s="2190"/>
      <c r="O49" s="2189"/>
      <c r="P49" s="2190"/>
      <c r="Q49" s="2189"/>
      <c r="R49" s="2190"/>
      <c r="S49" s="2189"/>
      <c r="T49" s="2190"/>
      <c r="U49" s="2189"/>
      <c r="V49" s="2190"/>
      <c r="W49" s="2189"/>
      <c r="X49" s="2190"/>
      <c r="Y49" s="2189"/>
      <c r="Z49" s="2190"/>
      <c r="AA49" s="982"/>
      <c r="AB49" s="981"/>
      <c r="AC49" s="2189"/>
      <c r="AD49" s="2190"/>
      <c r="AE49" s="2189"/>
      <c r="AF49" s="2190"/>
      <c r="AG49" s="2189"/>
      <c r="AH49" s="2190"/>
      <c r="AI49" s="2189"/>
      <c r="AJ49" s="2190"/>
      <c r="AK49" s="2187"/>
      <c r="AL49" s="2192"/>
      <c r="AM49" s="2187"/>
      <c r="AN49" s="2188"/>
    </row>
    <row r="50" spans="1:43" ht="14">
      <c r="A50" s="128" t="s">
        <v>488</v>
      </c>
      <c r="B50" s="129"/>
      <c r="C50" s="2200">
        <v>5500</v>
      </c>
      <c r="D50" s="2201"/>
      <c r="E50" s="2201"/>
      <c r="F50" s="2201"/>
      <c r="G50" s="2202"/>
      <c r="H50" s="2195">
        <v>5570</v>
      </c>
      <c r="I50" s="2196"/>
      <c r="J50" s="2196"/>
      <c r="K50" s="2196"/>
      <c r="L50" s="2196"/>
      <c r="M50" s="2196"/>
      <c r="N50" s="2196"/>
      <c r="O50" s="2196"/>
      <c r="P50" s="2196"/>
      <c r="Q50" s="2196"/>
      <c r="R50" s="2196"/>
      <c r="S50" s="2196"/>
      <c r="T50" s="2196"/>
      <c r="U50" s="2196"/>
      <c r="V50" s="2196"/>
      <c r="W50" s="2196"/>
      <c r="X50" s="2196"/>
      <c r="Y50" s="2196"/>
      <c r="Z50" s="2196"/>
      <c r="AA50" s="2197"/>
      <c r="AB50" s="2200">
        <v>14290</v>
      </c>
      <c r="AC50" s="2201"/>
      <c r="AD50" s="2201"/>
      <c r="AE50" s="2201"/>
      <c r="AF50" s="2201"/>
      <c r="AG50" s="2201"/>
      <c r="AH50" s="2201"/>
      <c r="AI50" s="2201"/>
      <c r="AJ50" s="2202"/>
      <c r="AK50" s="2219">
        <v>13940</v>
      </c>
      <c r="AL50" s="2220"/>
      <c r="AM50" s="2220"/>
      <c r="AN50" s="2221"/>
    </row>
    <row r="51" spans="1:43">
      <c r="A51" s="136" t="s">
        <v>479</v>
      </c>
      <c r="B51" s="137"/>
      <c r="C51" s="2203"/>
      <c r="D51" s="2204"/>
      <c r="E51" s="2189"/>
      <c r="F51" s="2190"/>
      <c r="G51" s="982"/>
      <c r="H51" s="981">
        <v>100</v>
      </c>
      <c r="I51" s="2189"/>
      <c r="J51" s="2190"/>
      <c r="K51" s="2189"/>
      <c r="L51" s="2190"/>
      <c r="M51" s="2189"/>
      <c r="N51" s="2190"/>
      <c r="O51" s="2189"/>
      <c r="P51" s="2190"/>
      <c r="Q51" s="2189"/>
      <c r="R51" s="2190"/>
      <c r="S51" s="2189"/>
      <c r="T51" s="2190"/>
      <c r="U51" s="2189"/>
      <c r="V51" s="2190"/>
      <c r="W51" s="2189"/>
      <c r="X51" s="2190"/>
      <c r="Y51" s="2189"/>
      <c r="Z51" s="2190"/>
      <c r="AA51" s="982"/>
      <c r="AB51" s="981"/>
      <c r="AC51" s="2189"/>
      <c r="AD51" s="2190"/>
      <c r="AE51" s="2189"/>
      <c r="AF51" s="2190"/>
      <c r="AG51" s="2189"/>
      <c r="AH51" s="2190"/>
      <c r="AI51" s="2189"/>
      <c r="AJ51" s="2190"/>
      <c r="AK51" s="2187"/>
      <c r="AL51" s="2192"/>
      <c r="AM51" s="2187"/>
      <c r="AN51" s="2188"/>
    </row>
    <row r="52" spans="1:43" ht="14">
      <c r="A52" s="128" t="s">
        <v>489</v>
      </c>
      <c r="B52" s="129"/>
      <c r="C52" s="2213">
        <v>300</v>
      </c>
      <c r="D52" s="2201"/>
      <c r="E52" s="2201"/>
      <c r="F52" s="2201"/>
      <c r="G52" s="2202"/>
      <c r="H52" s="2230">
        <v>305</v>
      </c>
      <c r="I52" s="2196"/>
      <c r="J52" s="2196"/>
      <c r="K52" s="2196"/>
      <c r="L52" s="2196"/>
      <c r="M52" s="2196"/>
      <c r="N52" s="2196"/>
      <c r="O52" s="2196"/>
      <c r="P52" s="2196"/>
      <c r="Q52" s="2196"/>
      <c r="R52" s="2196"/>
      <c r="S52" s="2196"/>
      <c r="T52" s="2196"/>
      <c r="U52" s="2196"/>
      <c r="V52" s="2196"/>
      <c r="W52" s="2196"/>
      <c r="X52" s="2196"/>
      <c r="Y52" s="2196"/>
      <c r="Z52" s="2196"/>
      <c r="AA52" s="2197"/>
      <c r="AB52" s="2213">
        <v>390</v>
      </c>
      <c r="AC52" s="2201"/>
      <c r="AD52" s="2201"/>
      <c r="AE52" s="2201"/>
      <c r="AF52" s="2201"/>
      <c r="AG52" s="2201"/>
      <c r="AH52" s="2201"/>
      <c r="AI52" s="2201"/>
      <c r="AJ52" s="2202"/>
      <c r="AK52" s="2219">
        <v>810</v>
      </c>
      <c r="AL52" s="2220"/>
      <c r="AM52" s="2220"/>
      <c r="AN52" s="2221"/>
    </row>
    <row r="53" spans="1:43">
      <c r="A53" s="132" t="s">
        <v>479</v>
      </c>
      <c r="B53" s="133"/>
      <c r="C53" s="2203"/>
      <c r="D53" s="2204"/>
      <c r="E53" s="2189"/>
      <c r="F53" s="2190"/>
      <c r="G53" s="982"/>
      <c r="H53" s="981">
        <v>100</v>
      </c>
      <c r="I53" s="2189"/>
      <c r="J53" s="2190"/>
      <c r="K53" s="2189"/>
      <c r="L53" s="2190"/>
      <c r="M53" s="2189"/>
      <c r="N53" s="2190"/>
      <c r="O53" s="2189"/>
      <c r="P53" s="2190"/>
      <c r="Q53" s="2189"/>
      <c r="R53" s="2190"/>
      <c r="S53" s="2189"/>
      <c r="T53" s="2190"/>
      <c r="U53" s="2189"/>
      <c r="V53" s="2190"/>
      <c r="W53" s="2189"/>
      <c r="X53" s="2190"/>
      <c r="Y53" s="2189"/>
      <c r="Z53" s="2190"/>
      <c r="AA53" s="982"/>
      <c r="AB53" s="981"/>
      <c r="AC53" s="2189"/>
      <c r="AD53" s="2190"/>
      <c r="AE53" s="2189"/>
      <c r="AF53" s="2190"/>
      <c r="AG53" s="2189"/>
      <c r="AH53" s="2190"/>
      <c r="AI53" s="2189"/>
      <c r="AJ53" s="2190"/>
      <c r="AK53" s="2187"/>
      <c r="AL53" s="2192"/>
      <c r="AM53" s="2187"/>
      <c r="AN53" s="2188"/>
    </row>
    <row r="54" spans="1:43" ht="14">
      <c r="A54" s="128" t="s">
        <v>490</v>
      </c>
      <c r="B54" s="129"/>
      <c r="C54" s="2233"/>
      <c r="D54" s="2234"/>
      <c r="E54" s="2234"/>
      <c r="F54" s="2234"/>
      <c r="G54" s="2235"/>
      <c r="H54" s="2230"/>
      <c r="I54" s="2196"/>
      <c r="J54" s="2196"/>
      <c r="K54" s="2196"/>
      <c r="L54" s="2196"/>
      <c r="M54" s="2196"/>
      <c r="N54" s="2196"/>
      <c r="O54" s="2196"/>
      <c r="P54" s="2196"/>
      <c r="Q54" s="2196"/>
      <c r="R54" s="2196"/>
      <c r="S54" s="2196"/>
      <c r="T54" s="2196"/>
      <c r="U54" s="2196"/>
      <c r="V54" s="2196"/>
      <c r="W54" s="2196"/>
      <c r="X54" s="2196"/>
      <c r="Y54" s="2196"/>
      <c r="Z54" s="2196"/>
      <c r="AA54" s="2197"/>
      <c r="AB54" s="2213"/>
      <c r="AC54" s="2201"/>
      <c r="AD54" s="2201"/>
      <c r="AE54" s="2201"/>
      <c r="AF54" s="2201"/>
      <c r="AG54" s="2201"/>
      <c r="AH54" s="2201"/>
      <c r="AI54" s="2201"/>
      <c r="AJ54" s="2202"/>
      <c r="AK54" s="2223"/>
      <c r="AL54" s="2224"/>
      <c r="AM54" s="2220"/>
      <c r="AN54" s="2221"/>
    </row>
    <row r="55" spans="1:43" ht="13.5" thickBot="1">
      <c r="A55" s="138" t="s">
        <v>479</v>
      </c>
      <c r="B55" s="139"/>
      <c r="C55" s="2231"/>
      <c r="D55" s="2232"/>
      <c r="E55" s="2198"/>
      <c r="F55" s="2199"/>
      <c r="G55" s="983"/>
      <c r="H55" s="984">
        <v>100</v>
      </c>
      <c r="I55" s="2198"/>
      <c r="J55" s="2199"/>
      <c r="K55" s="2198"/>
      <c r="L55" s="2199"/>
      <c r="M55" s="2198"/>
      <c r="N55" s="2199"/>
      <c r="O55" s="2198"/>
      <c r="P55" s="2199"/>
      <c r="Q55" s="2198"/>
      <c r="R55" s="2199"/>
      <c r="S55" s="2198"/>
      <c r="T55" s="2199"/>
      <c r="U55" s="2198"/>
      <c r="V55" s="2199"/>
      <c r="W55" s="2198"/>
      <c r="X55" s="2199"/>
      <c r="Y55" s="2198"/>
      <c r="Z55" s="2199"/>
      <c r="AA55" s="983"/>
      <c r="AB55" s="984"/>
      <c r="AC55" s="2198"/>
      <c r="AD55" s="2199"/>
      <c r="AE55" s="2198"/>
      <c r="AF55" s="2199"/>
      <c r="AG55" s="2198"/>
      <c r="AH55" s="2199"/>
      <c r="AI55" s="2198"/>
      <c r="AJ55" s="2199"/>
      <c r="AK55" s="2193"/>
      <c r="AL55" s="2194"/>
      <c r="AM55" s="2193"/>
      <c r="AN55" s="2218"/>
    </row>
    <row r="56" spans="1:43" ht="13.5" thickBot="1">
      <c r="J56" s="1011" t="s">
        <v>37</v>
      </c>
    </row>
    <row r="57" spans="1:43" ht="14">
      <c r="A57" s="112" t="s">
        <v>455</v>
      </c>
      <c r="B57" s="113"/>
      <c r="C57" s="2240">
        <v>13</v>
      </c>
      <c r="D57" s="2238"/>
      <c r="E57" s="2238"/>
      <c r="F57" s="2240">
        <v>14</v>
      </c>
      <c r="G57" s="2238"/>
      <c r="H57" s="2238"/>
      <c r="I57" s="2238"/>
      <c r="J57" s="2293"/>
    </row>
    <row r="58" spans="1:43">
      <c r="A58" s="114" t="s">
        <v>456</v>
      </c>
      <c r="B58" s="115"/>
      <c r="C58" s="2269" t="s">
        <v>1099</v>
      </c>
      <c r="D58" s="2278"/>
      <c r="E58" s="1009" t="s">
        <v>16</v>
      </c>
      <c r="F58" s="1010"/>
      <c r="G58" s="2290" t="s">
        <v>14</v>
      </c>
      <c r="H58" s="2292"/>
      <c r="I58" s="2290" t="s">
        <v>15</v>
      </c>
      <c r="J58" s="2291"/>
    </row>
    <row r="59" spans="1:43">
      <c r="A59" s="2271" t="s">
        <v>454</v>
      </c>
      <c r="B59" s="2227"/>
      <c r="C59" s="2226">
        <f>E59+1</f>
        <v>2</v>
      </c>
      <c r="D59" s="2227"/>
      <c r="E59" s="2285">
        <v>1</v>
      </c>
      <c r="F59" s="2285"/>
      <c r="G59" s="2226"/>
      <c r="H59" s="2227"/>
      <c r="I59" s="2226"/>
      <c r="J59" s="2279"/>
    </row>
    <row r="60" spans="1:43" ht="14">
      <c r="A60" s="128" t="s">
        <v>478</v>
      </c>
      <c r="B60" s="129"/>
      <c r="C60" s="2219">
        <v>11520</v>
      </c>
      <c r="D60" s="2283"/>
      <c r="E60" s="1008"/>
      <c r="F60" s="2196"/>
      <c r="G60" s="2196"/>
      <c r="H60" s="2196"/>
      <c r="I60" s="2196"/>
      <c r="J60" s="2248"/>
      <c r="AP60" s="2222">
        <f>($E$8*SUM($C$9:$K$9))+($L$8*SUM($L$9:$M$9))+($N$8*SUM($N$9:$O$9))+($P$8*SUM($P$9:$R$9))+($S$8*$S$9)+($U$8*SUM($U$9:$W$9))+($X$8*SUM($X$9:$AA$9))+($AB$8*SUM($AB$9:$AE$9))+($AF$8*SUM($AF$9:$AN$9))+($C$34*SUM($C$35:$G$35))+($H$34*SUM($H$35:$AA$35))+($AB$34*SUM($AB$35:$AJ$35))+($AK$34*SUM($AK$35:$AN$35)+($C$60*$C$61))</f>
        <v>4108500</v>
      </c>
      <c r="AQ60" s="2222"/>
    </row>
    <row r="61" spans="1:43" ht="14">
      <c r="A61" s="132" t="s">
        <v>479</v>
      </c>
      <c r="B61" s="133"/>
      <c r="C61" s="2187"/>
      <c r="D61" s="2282"/>
      <c r="E61" s="2287"/>
      <c r="F61" s="2288"/>
      <c r="G61" s="2187"/>
      <c r="H61" s="2282"/>
      <c r="I61" s="2187"/>
      <c r="J61" s="2286"/>
      <c r="AP61" s="164"/>
      <c r="AQ61" s="164"/>
    </row>
    <row r="62" spans="1:43" ht="14">
      <c r="A62" s="128" t="s">
        <v>480</v>
      </c>
      <c r="B62" s="129"/>
      <c r="C62" s="2219">
        <v>4430</v>
      </c>
      <c r="D62" s="2283"/>
      <c r="E62" s="2284"/>
      <c r="F62" s="2196"/>
      <c r="G62" s="2196"/>
      <c r="H62" s="2196"/>
      <c r="I62" s="2196"/>
      <c r="J62" s="2248"/>
      <c r="AP62" s="2191">
        <f>($L$10*SUM($L$11:$M$11))+($N$10*SUM($N$11:$O$11))+($P$10*SUM($P$11:$R$11))+($S$10*$S$11)+($U$10*SUM($U$11:$W$11))+($X$10*SUM($X$11:$AA$11))+($AB$10*SUM($AB$11:$AE$11))+($AF$10*SUM($AF$11:$AN$11))+($C$36*SUM($C$37:$G$37))+($H$36*SUM($H$37:$AA$37))+($AB$36*SUM($AB$37:$AJ$37))+($AK$36*SUM($AK$37:$AN$37)+($C$62*$C$63))</f>
        <v>665000</v>
      </c>
      <c r="AQ62" s="2191"/>
    </row>
    <row r="63" spans="1:43" ht="14">
      <c r="A63" s="132" t="s">
        <v>479</v>
      </c>
      <c r="B63" s="133"/>
      <c r="C63" s="2187"/>
      <c r="D63" s="2282"/>
      <c r="E63" s="2287"/>
      <c r="F63" s="2288"/>
      <c r="G63" s="2187"/>
      <c r="H63" s="2282"/>
      <c r="I63" s="2187"/>
      <c r="J63" s="2286"/>
      <c r="AP63" s="164"/>
      <c r="AQ63" s="164"/>
    </row>
    <row r="64" spans="1:43" ht="14">
      <c r="A64" s="128" t="s">
        <v>482</v>
      </c>
      <c r="B64" s="129"/>
      <c r="C64" s="2219">
        <v>10560</v>
      </c>
      <c r="D64" s="2283"/>
      <c r="E64" s="2284"/>
      <c r="F64" s="2196"/>
      <c r="G64" s="2196"/>
      <c r="H64" s="2196"/>
      <c r="I64" s="2196"/>
      <c r="J64" s="2248"/>
      <c r="AP64" s="2191">
        <f>($E$12*SUM($C$13:$K$13))+($L$12*SUM($L$13:$M$13))+($N$12*SUM($N$13:$O$13))+($P$12*SUM($P$13:$R$13))+($S$12*$S$13)+($U$12*SUM($U$13:$W$13))+($X$12*SUM($X$13:$AA$13))+($AB$12*SUM($AB$13:$AE$13))+($AF$12*SUM($AF$13:$AN$13))+($C$38*SUM($C$39:$G$39))+($H$38*SUM($H$39:$AA$39))+($AB$38*SUM($AB$39:$AJ$39))+($AK$38*SUM($AK$39:$AM$39)+($C$64*$C$65))</f>
        <v>2476000</v>
      </c>
      <c r="AQ64" s="2191"/>
    </row>
    <row r="65" spans="1:43" ht="14">
      <c r="A65" s="132" t="s">
        <v>479</v>
      </c>
      <c r="B65" s="133"/>
      <c r="C65" s="2187"/>
      <c r="D65" s="2282"/>
      <c r="E65" s="2289"/>
      <c r="F65" s="2288"/>
      <c r="G65" s="2187"/>
      <c r="H65" s="2282"/>
      <c r="I65" s="2187"/>
      <c r="J65" s="2286"/>
      <c r="AP65" s="164"/>
      <c r="AQ65" s="164"/>
    </row>
    <row r="66" spans="1:43" ht="14">
      <c r="A66" s="128" t="s">
        <v>483</v>
      </c>
      <c r="B66" s="129"/>
      <c r="C66" s="2219">
        <v>4560</v>
      </c>
      <c r="D66" s="2283"/>
      <c r="E66" s="2284"/>
      <c r="F66" s="2196"/>
      <c r="G66" s="2196"/>
      <c r="H66" s="2196"/>
      <c r="I66" s="2196"/>
      <c r="J66" s="2248"/>
      <c r="AP66" s="2191">
        <f>($E$14*SUM($C$15:$K$15))+($L$14*SUM($L$15:$M$15))+($N$14*SUM($N$15:$O$15))+($P$14*SUM($P$15:$R$15))+($S$14*$S$15)+($U$14*SUM($U$15:$W$15))+($X$14*SUM($X$15:$AA$15))+($AB$14*SUM($AB$15:$AE$15))+($AF$14*SUM($AF$15:$AN$15))+($C$40*SUM($C$41:$G$41))+($H$40*SUM($H$41:$AA$41))+($AB$40*SUM($AB$41:$AJ$41))+($AK$40*SUM($AK$41:$AM$41)+($C$66*$C$67))</f>
        <v>3693500</v>
      </c>
      <c r="AQ66" s="2191"/>
    </row>
    <row r="67" spans="1:43" ht="14">
      <c r="A67" s="132" t="s">
        <v>479</v>
      </c>
      <c r="B67" s="133"/>
      <c r="C67" s="2187"/>
      <c r="D67" s="2282"/>
      <c r="E67" s="2289"/>
      <c r="F67" s="2288"/>
      <c r="G67" s="2187"/>
      <c r="H67" s="2282"/>
      <c r="I67" s="2187"/>
      <c r="J67" s="2286"/>
      <c r="AP67" s="164"/>
      <c r="AQ67" s="164"/>
    </row>
    <row r="68" spans="1:43" ht="14">
      <c r="A68" s="2210" t="s">
        <v>637</v>
      </c>
      <c r="B68" s="134" t="s">
        <v>485</v>
      </c>
      <c r="C68" s="2219">
        <v>30570</v>
      </c>
      <c r="D68" s="2283"/>
      <c r="E68" s="2284"/>
      <c r="F68" s="2196"/>
      <c r="G68" s="2196"/>
      <c r="H68" s="2196"/>
      <c r="I68" s="2196"/>
      <c r="J68" s="2248"/>
      <c r="AP68" s="2191">
        <f>($E$16*SUM($C$17:$K$17))+($L$16*SUM($L$17:$M$17))+($N$16*SUM($N$17:$O$17))+($P$16*SUM($P$17:$R$17))+($S$16*$S$17)+($U$16*SUM($U$17:$W$17))+($X$16*SUM($X$17:$AA$17))+($AB$16*SUM($AB$17:$AE$17))+($AF$16*SUM($AF$17:$AN$17))+($C$42*SUM($C$43:$G$43))+($H$42*SUM($H$43:$AA$43))+($AB$42*SUM($AB$43:$AJ$43))+($AK$42*SUM($AK$43:$AM$43)+($C$68*$C$69))</f>
        <v>475300</v>
      </c>
      <c r="AQ68" s="2191"/>
    </row>
    <row r="69" spans="1:43" ht="14">
      <c r="A69" s="2211"/>
      <c r="B69" s="135" t="s">
        <v>479</v>
      </c>
      <c r="C69" s="2187"/>
      <c r="D69" s="2282"/>
      <c r="E69" s="2289"/>
      <c r="F69" s="2288"/>
      <c r="G69" s="2187"/>
      <c r="H69" s="2282"/>
      <c r="I69" s="2187"/>
      <c r="J69" s="2286"/>
      <c r="AP69" s="164"/>
      <c r="AQ69" s="164"/>
    </row>
    <row r="70" spans="1:43" ht="14">
      <c r="A70" s="2211"/>
      <c r="B70" s="134" t="s">
        <v>486</v>
      </c>
      <c r="C70" s="2219">
        <v>32380</v>
      </c>
      <c r="D70" s="2283"/>
      <c r="E70" s="2284"/>
      <c r="F70" s="2196"/>
      <c r="G70" s="2196"/>
      <c r="H70" s="2196"/>
      <c r="I70" s="2196"/>
      <c r="J70" s="2248"/>
      <c r="AP70" s="2191">
        <f>($C$44*SUM($C$45:$G$45))+($H$44*SUM($H$45:$AA$45))+($AB$44*SUM($AB$45:$AJ$45))+($AK$44*SUM($AK$45:$AM$45)+($C$70*$C$71))</f>
        <v>4899850</v>
      </c>
      <c r="AQ70" s="2191"/>
    </row>
    <row r="71" spans="1:43" ht="14">
      <c r="A71" s="2212"/>
      <c r="B71" s="135" t="s">
        <v>479</v>
      </c>
      <c r="C71" s="2187">
        <v>70</v>
      </c>
      <c r="D71" s="2282"/>
      <c r="E71" s="2289"/>
      <c r="F71" s="2288"/>
      <c r="G71" s="2187"/>
      <c r="H71" s="2282"/>
      <c r="I71" s="2187"/>
      <c r="J71" s="2286"/>
      <c r="AP71" s="164"/>
      <c r="AQ71" s="164"/>
    </row>
    <row r="72" spans="1:43" ht="14.25" customHeight="1">
      <c r="A72" s="2210" t="s">
        <v>507</v>
      </c>
      <c r="B72" s="134" t="s">
        <v>485</v>
      </c>
      <c r="C72" s="2219">
        <v>98230</v>
      </c>
      <c r="D72" s="2283"/>
      <c r="E72" s="2284"/>
      <c r="F72" s="2283"/>
      <c r="G72" s="2283"/>
      <c r="H72" s="2283"/>
      <c r="I72" s="2283"/>
      <c r="J72" s="2297"/>
      <c r="AP72" s="2191">
        <f>($E$20*SUM($C$21:$K$21))+($L$20*SUM($L$21:$M$21))+($N$20*SUM($N$21:$O$21))+($P$20*SUM($P$21:$R$21))+($S$20*$S$21)+($U$20*SUM($U$21:$W$21))+($X$20*SUM($X$21:$AA$21))+($AB$20*SUM($AB$21:$AE$21))+($AF$20*SUM($AF$21:$AN$21))+($C$46*SUM($C$47:$G$47))+($H$46*SUM($H$47:$AA$47))+($AB$46*SUM($AB$47:$AJ$47))+($AK$46*SUM($AK$47:$AM$47)+($C$72*$C$73))</f>
        <v>19490700</v>
      </c>
      <c r="AQ72" s="2191"/>
    </row>
    <row r="73" spans="1:43" ht="14">
      <c r="A73" s="2211"/>
      <c r="B73" s="135" t="s">
        <v>479</v>
      </c>
      <c r="C73" s="2187"/>
      <c r="D73" s="2282"/>
      <c r="E73" s="2289"/>
      <c r="F73" s="2288"/>
      <c r="G73" s="2187"/>
      <c r="H73" s="2282"/>
      <c r="I73" s="2187"/>
      <c r="J73" s="2286"/>
      <c r="AP73" s="164"/>
      <c r="AQ73" s="164"/>
    </row>
    <row r="74" spans="1:43" ht="14">
      <c r="A74" s="2211"/>
      <c r="B74" s="134" t="s">
        <v>486</v>
      </c>
      <c r="C74" s="2294">
        <v>105990</v>
      </c>
      <c r="D74" s="2295"/>
      <c r="E74" s="2296"/>
      <c r="F74" s="2196"/>
      <c r="G74" s="2196"/>
      <c r="H74" s="2196"/>
      <c r="I74" s="2196"/>
      <c r="J74" s="2248"/>
      <c r="AP74" s="2191">
        <f>($C$48*SUM($C$49:$G$49))+($H$48*SUM($H$49:$AA$49))+($AB$48*SUM($AB$49:$AJ$49))+($AK$48*SUM($AK$49:$AM$49)+($C$74*$C$75))</f>
        <v>1887900</v>
      </c>
      <c r="AQ74" s="2191"/>
    </row>
    <row r="75" spans="1:43" ht="14">
      <c r="A75" s="2212"/>
      <c r="B75" s="135" t="s">
        <v>479</v>
      </c>
      <c r="C75" s="2187"/>
      <c r="D75" s="2282"/>
      <c r="E75" s="2289"/>
      <c r="F75" s="2288"/>
      <c r="G75" s="2187"/>
      <c r="H75" s="2282"/>
      <c r="I75" s="2187"/>
      <c r="J75" s="2286"/>
      <c r="AP75" s="164"/>
      <c r="AQ75" s="164"/>
    </row>
    <row r="76" spans="1:43" ht="14">
      <c r="A76" s="128" t="s">
        <v>488</v>
      </c>
      <c r="B76" s="129"/>
      <c r="C76" s="2219">
        <v>13940</v>
      </c>
      <c r="D76" s="2283"/>
      <c r="E76" s="2284"/>
      <c r="F76" s="2196"/>
      <c r="G76" s="2196"/>
      <c r="H76" s="2196"/>
      <c r="I76" s="2196"/>
      <c r="J76" s="2248"/>
      <c r="AP76" s="2191">
        <f>($E$24*SUM($C$25:$K$25))+($L$24*SUM($L$25:$M$25))+($N$24*SUM($N$25:$O$25))+($P$24*SUM($P$25:$R$25))+($S$24*$S$25)+($U$24*SUM($U$25:$W$25))+($X$24*SUM($X$25:$AA$25))+($AB$24*SUM($AB$25:$AE$25))+($AF$24*SUM($AF$25:$AN$25))+($C$50*SUM($C$51:$G$51))+($H$50*SUM($H$51:$AA$51))+($AB$50*SUM($AB$51:$AJ$51))+($AK$50*SUM($AK$51:$AM$51)+($C$76*$C$77))</f>
        <v>3230000</v>
      </c>
      <c r="AQ76" s="2191"/>
    </row>
    <row r="77" spans="1:43" ht="14">
      <c r="A77" s="136" t="s">
        <v>479</v>
      </c>
      <c r="B77" s="137"/>
      <c r="C77" s="2187"/>
      <c r="D77" s="2282"/>
      <c r="E77" s="2289"/>
      <c r="F77" s="2288"/>
      <c r="G77" s="2187"/>
      <c r="H77" s="2282"/>
      <c r="I77" s="2187"/>
      <c r="J77" s="2286"/>
      <c r="AP77" s="164"/>
      <c r="AQ77" s="164"/>
    </row>
    <row r="78" spans="1:43" ht="14">
      <c r="A78" s="128" t="s">
        <v>489</v>
      </c>
      <c r="B78" s="129"/>
      <c r="C78" s="2219">
        <v>810</v>
      </c>
      <c r="D78" s="2283"/>
      <c r="E78" s="2284"/>
      <c r="F78" s="2196"/>
      <c r="G78" s="2196"/>
      <c r="H78" s="2196"/>
      <c r="I78" s="2196"/>
      <c r="J78" s="2248"/>
      <c r="AP78" s="2191">
        <f>($E$26*SUM($C$27:$K$27))+($L$26*SUM($L$27:$M$27))+($N$26*SUM($N$27:$O$27))+($P$26*SUM($P$27:$R$27))+($S$26*$S$27)+($U$26*SUM($U$27:$W$27))+($X$26*SUM($X$27:$AA$27))+($AB$26*SUM($AB$27:$AE$27))+($AF$26*SUM($AF$27:$AN$27))+($C$52*SUM($C$53:$G$53))+($H$52*SUM($H$53:$AA$53))+($AB$52*SUM($AB$53:$AJ$53))+($AK$52*SUM($AK$53:$AM$53)+($C$78*$C$79))</f>
        <v>174500</v>
      </c>
      <c r="AQ78" s="2191"/>
    </row>
    <row r="79" spans="1:43" ht="14">
      <c r="A79" s="132" t="s">
        <v>479</v>
      </c>
      <c r="B79" s="133"/>
      <c r="C79" s="2187"/>
      <c r="D79" s="2282"/>
      <c r="E79" s="2289"/>
      <c r="F79" s="2288"/>
      <c r="G79" s="2187"/>
      <c r="H79" s="2282"/>
      <c r="I79" s="2187"/>
      <c r="J79" s="2286"/>
      <c r="AP79" s="164"/>
      <c r="AQ79" s="164"/>
    </row>
    <row r="80" spans="1:43" ht="14">
      <c r="A80" s="128" t="s">
        <v>490</v>
      </c>
      <c r="B80" s="129"/>
      <c r="C80" s="2223"/>
      <c r="D80" s="2224"/>
      <c r="E80" s="2301"/>
      <c r="F80" s="2196"/>
      <c r="G80" s="2196"/>
      <c r="H80" s="2196"/>
      <c r="I80" s="2196"/>
      <c r="J80" s="2248"/>
      <c r="AP80" s="2191">
        <f>投資額!$H$48</f>
        <v>2182950</v>
      </c>
      <c r="AQ80" s="2191"/>
    </row>
    <row r="81" spans="1:44" ht="14.5" thickBot="1">
      <c r="A81" s="138" t="s">
        <v>479</v>
      </c>
      <c r="B81" s="139"/>
      <c r="C81" s="2193"/>
      <c r="D81" s="2298"/>
      <c r="E81" s="2299"/>
      <c r="F81" s="2300"/>
      <c r="G81" s="2193"/>
      <c r="H81" s="2298"/>
      <c r="I81" s="2193"/>
      <c r="J81" s="2302"/>
      <c r="AP81" s="164"/>
      <c r="AQ81" s="164"/>
    </row>
    <row r="82" spans="1:44">
      <c r="AP82" s="2191">
        <f>SUM(AP60:AQ80)</f>
        <v>43284200</v>
      </c>
      <c r="AQ82" s="2191"/>
      <c r="AR82" s="444" t="str">
        <f>IF(AP82=投資額!G37,"正しく入力されています","入力件数に誤りがあります")</f>
        <v>入力件数に誤りがあります</v>
      </c>
    </row>
  </sheetData>
  <mergeCells count="674">
    <mergeCell ref="G79:H79"/>
    <mergeCell ref="C79:D79"/>
    <mergeCell ref="E79:F79"/>
    <mergeCell ref="C81:D81"/>
    <mergeCell ref="F74:J74"/>
    <mergeCell ref="F78:J78"/>
    <mergeCell ref="G77:H77"/>
    <mergeCell ref="G75:H75"/>
    <mergeCell ref="E77:F77"/>
    <mergeCell ref="C76:E76"/>
    <mergeCell ref="E81:F81"/>
    <mergeCell ref="F80:J80"/>
    <mergeCell ref="C80:E80"/>
    <mergeCell ref="I81:J81"/>
    <mergeCell ref="I79:J79"/>
    <mergeCell ref="G81:H81"/>
    <mergeCell ref="F64:J64"/>
    <mergeCell ref="E65:F65"/>
    <mergeCell ref="C57:E57"/>
    <mergeCell ref="I58:J58"/>
    <mergeCell ref="G58:H58"/>
    <mergeCell ref="C58:D58"/>
    <mergeCell ref="F57:J57"/>
    <mergeCell ref="I77:J77"/>
    <mergeCell ref="G67:H67"/>
    <mergeCell ref="F76:J76"/>
    <mergeCell ref="C74:E74"/>
    <mergeCell ref="C67:D67"/>
    <mergeCell ref="C77:D77"/>
    <mergeCell ref="F72:J72"/>
    <mergeCell ref="G73:H73"/>
    <mergeCell ref="E71:F71"/>
    <mergeCell ref="F70:J70"/>
    <mergeCell ref="I71:J71"/>
    <mergeCell ref="E73:F73"/>
    <mergeCell ref="I73:J73"/>
    <mergeCell ref="I75:J75"/>
    <mergeCell ref="G71:H71"/>
    <mergeCell ref="I65:J65"/>
    <mergeCell ref="C72:E72"/>
    <mergeCell ref="G59:H59"/>
    <mergeCell ref="E59:F59"/>
    <mergeCell ref="F62:J62"/>
    <mergeCell ref="F60:J60"/>
    <mergeCell ref="G61:H61"/>
    <mergeCell ref="I59:J59"/>
    <mergeCell ref="I61:J61"/>
    <mergeCell ref="E61:F61"/>
    <mergeCell ref="C78:E78"/>
    <mergeCell ref="E75:F75"/>
    <mergeCell ref="C63:D63"/>
    <mergeCell ref="E63:F63"/>
    <mergeCell ref="C65:D65"/>
    <mergeCell ref="I67:J67"/>
    <mergeCell ref="F68:J68"/>
    <mergeCell ref="E67:F67"/>
    <mergeCell ref="G69:H69"/>
    <mergeCell ref="C60:D60"/>
    <mergeCell ref="E69:F69"/>
    <mergeCell ref="I69:J69"/>
    <mergeCell ref="G63:H63"/>
    <mergeCell ref="F66:J66"/>
    <mergeCell ref="G65:H65"/>
    <mergeCell ref="I63:J63"/>
    <mergeCell ref="A59:B59"/>
    <mergeCell ref="A68:A71"/>
    <mergeCell ref="A72:A75"/>
    <mergeCell ref="C75:D75"/>
    <mergeCell ref="C73:D73"/>
    <mergeCell ref="C70:E70"/>
    <mergeCell ref="C62:E62"/>
    <mergeCell ref="C61:D61"/>
    <mergeCell ref="C68:E68"/>
    <mergeCell ref="C59:D59"/>
    <mergeCell ref="C66:E66"/>
    <mergeCell ref="C64:E64"/>
    <mergeCell ref="C71:D71"/>
    <mergeCell ref="C69:D69"/>
    <mergeCell ref="Q11:R11"/>
    <mergeCell ref="S5:T5"/>
    <mergeCell ref="S6:T6"/>
    <mergeCell ref="S7:T7"/>
    <mergeCell ref="P5:R5"/>
    <mergeCell ref="Q6:R6"/>
    <mergeCell ref="U6:V6"/>
    <mergeCell ref="Q9:R9"/>
    <mergeCell ref="S9:T9"/>
    <mergeCell ref="AM21:AN21"/>
    <mergeCell ref="AM23:AN23"/>
    <mergeCell ref="AK21:AL21"/>
    <mergeCell ref="AF24:AN24"/>
    <mergeCell ref="AI25:AJ25"/>
    <mergeCell ref="AG23:AH23"/>
    <mergeCell ref="AI23:AJ23"/>
    <mergeCell ref="AE23:AF23"/>
    <mergeCell ref="AK25:AL25"/>
    <mergeCell ref="AM25:AN25"/>
    <mergeCell ref="AF22:AN22"/>
    <mergeCell ref="AB22:AE22"/>
    <mergeCell ref="AB24:AE24"/>
    <mergeCell ref="AP64:AQ64"/>
    <mergeCell ref="AK50:AN50"/>
    <mergeCell ref="AM53:AN53"/>
    <mergeCell ref="AK52:AN52"/>
    <mergeCell ref="AE32:AF32"/>
    <mergeCell ref="AK47:AL47"/>
    <mergeCell ref="AK46:AN46"/>
    <mergeCell ref="AK43:AL43"/>
    <mergeCell ref="AK33:AL33"/>
    <mergeCell ref="AK36:AN36"/>
    <mergeCell ref="AM51:AN51"/>
    <mergeCell ref="AM47:AN47"/>
    <mergeCell ref="AK39:AL39"/>
    <mergeCell ref="AK32:AL32"/>
    <mergeCell ref="AI33:AJ33"/>
    <mergeCell ref="AI35:AJ35"/>
    <mergeCell ref="AM33:AN33"/>
    <mergeCell ref="AB48:AJ48"/>
    <mergeCell ref="AE33:AF33"/>
    <mergeCell ref="AG35:AH35"/>
    <mergeCell ref="AC35:AD35"/>
    <mergeCell ref="AB36:AJ36"/>
    <mergeCell ref="AI37:AJ37"/>
    <mergeCell ref="AG55:AH55"/>
    <mergeCell ref="AB5:AE5"/>
    <mergeCell ref="AG6:AH6"/>
    <mergeCell ref="U5:W5"/>
    <mergeCell ref="X5:AA5"/>
    <mergeCell ref="Y7:Z7"/>
    <mergeCell ref="Y6:Z6"/>
    <mergeCell ref="AC9:AD9"/>
    <mergeCell ref="AC6:AD6"/>
    <mergeCell ref="AM11:AN11"/>
    <mergeCell ref="AF10:AN10"/>
    <mergeCell ref="AF5:AN5"/>
    <mergeCell ref="AM6:AN6"/>
    <mergeCell ref="AM7:AN7"/>
    <mergeCell ref="AK6:AL6"/>
    <mergeCell ref="AK7:AL7"/>
    <mergeCell ref="AI6:AJ6"/>
    <mergeCell ref="AG11:AH11"/>
    <mergeCell ref="Y11:Z11"/>
    <mergeCell ref="U7:V7"/>
    <mergeCell ref="U11:V11"/>
    <mergeCell ref="W7:X7"/>
    <mergeCell ref="AI9:AJ9"/>
    <mergeCell ref="AG9:AH9"/>
    <mergeCell ref="AF8:AN8"/>
    <mergeCell ref="A46:A49"/>
    <mergeCell ref="AM32:AN32"/>
    <mergeCell ref="C38:G38"/>
    <mergeCell ref="AB38:AJ38"/>
    <mergeCell ref="I33:J33"/>
    <mergeCell ref="K32:L32"/>
    <mergeCell ref="AB40:AJ40"/>
    <mergeCell ref="AK38:AN38"/>
    <mergeCell ref="A33:B33"/>
    <mergeCell ref="C40:G40"/>
    <mergeCell ref="AM49:AN49"/>
    <mergeCell ref="C33:D33"/>
    <mergeCell ref="W33:X33"/>
    <mergeCell ref="C49:D49"/>
    <mergeCell ref="E49:F49"/>
    <mergeCell ref="C39:D39"/>
    <mergeCell ref="C41:D41"/>
    <mergeCell ref="C47:D47"/>
    <mergeCell ref="E47:F47"/>
    <mergeCell ref="E41:F41"/>
    <mergeCell ref="C46:G46"/>
    <mergeCell ref="E39:F39"/>
    <mergeCell ref="E43:F43"/>
    <mergeCell ref="C32:D32"/>
    <mergeCell ref="M7:N7"/>
    <mergeCell ref="O7:P7"/>
    <mergeCell ref="P12:R12"/>
    <mergeCell ref="P8:R8"/>
    <mergeCell ref="S14:T14"/>
    <mergeCell ref="A20:A23"/>
    <mergeCell ref="P14:R14"/>
    <mergeCell ref="Q17:R17"/>
    <mergeCell ref="N14:O14"/>
    <mergeCell ref="G15:H15"/>
    <mergeCell ref="Q23:R23"/>
    <mergeCell ref="P22:R22"/>
    <mergeCell ref="E20:K20"/>
    <mergeCell ref="E19:F19"/>
    <mergeCell ref="L14:M14"/>
    <mergeCell ref="N18:O18"/>
    <mergeCell ref="Q15:R15"/>
    <mergeCell ref="N16:O16"/>
    <mergeCell ref="P16:R16"/>
    <mergeCell ref="G7:H7"/>
    <mergeCell ref="C7:D7"/>
    <mergeCell ref="C8:D8"/>
    <mergeCell ref="C11:D11"/>
    <mergeCell ref="C9:D9"/>
    <mergeCell ref="S13:T13"/>
    <mergeCell ref="Y9:Z9"/>
    <mergeCell ref="X8:AA8"/>
    <mergeCell ref="AB12:AE12"/>
    <mergeCell ref="AB14:AE14"/>
    <mergeCell ref="AC13:AD13"/>
    <mergeCell ref="U9:V9"/>
    <mergeCell ref="S8:T8"/>
    <mergeCell ref="U8:W8"/>
    <mergeCell ref="AC11:AD11"/>
    <mergeCell ref="U14:W14"/>
    <mergeCell ref="U12:W12"/>
    <mergeCell ref="X12:AA12"/>
    <mergeCell ref="X14:AA14"/>
    <mergeCell ref="U13:V13"/>
    <mergeCell ref="Y13:Z13"/>
    <mergeCell ref="AI11:AJ11"/>
    <mergeCell ref="E6:F6"/>
    <mergeCell ref="G6:H6"/>
    <mergeCell ref="I7:J7"/>
    <mergeCell ref="AB34:AJ34"/>
    <mergeCell ref="N22:O22"/>
    <mergeCell ref="AG32:AH32"/>
    <mergeCell ref="AI17:AJ17"/>
    <mergeCell ref="N8:O8"/>
    <mergeCell ref="X10:AA10"/>
    <mergeCell ref="Q7:R7"/>
    <mergeCell ref="P10:R10"/>
    <mergeCell ref="AI7:AJ7"/>
    <mergeCell ref="AB8:AE8"/>
    <mergeCell ref="AE7:AF7"/>
    <mergeCell ref="AG7:AH7"/>
    <mergeCell ref="AF12:AN12"/>
    <mergeCell ref="AK9:AL9"/>
    <mergeCell ref="AM9:AN9"/>
    <mergeCell ref="AC7:AD7"/>
    <mergeCell ref="AK11:AL11"/>
    <mergeCell ref="AB10:AE10"/>
    <mergeCell ref="AA7:AB7"/>
    <mergeCell ref="E7:F7"/>
    <mergeCell ref="E8:K8"/>
    <mergeCell ref="E9:F9"/>
    <mergeCell ref="G9:H9"/>
    <mergeCell ref="I9:J9"/>
    <mergeCell ref="C22:D22"/>
    <mergeCell ref="E22:K22"/>
    <mergeCell ref="H31:AA31"/>
    <mergeCell ref="Y15:Z15"/>
    <mergeCell ref="U19:V19"/>
    <mergeCell ref="Y19:Z19"/>
    <mergeCell ref="U17:V17"/>
    <mergeCell ref="U16:W16"/>
    <mergeCell ref="AA19:AB19"/>
    <mergeCell ref="S17:T17"/>
    <mergeCell ref="S15:T15"/>
    <mergeCell ref="Y17:Z17"/>
    <mergeCell ref="X16:AA16"/>
    <mergeCell ref="U15:V15"/>
    <mergeCell ref="AA23:AB23"/>
    <mergeCell ref="Y23:Z23"/>
    <mergeCell ref="K23:L23"/>
    <mergeCell ref="S25:T25"/>
    <mergeCell ref="Q27:R27"/>
    <mergeCell ref="L28:M28"/>
    <mergeCell ref="L5:M5"/>
    <mergeCell ref="N5:O5"/>
    <mergeCell ref="L8:M8"/>
    <mergeCell ref="K7:L7"/>
    <mergeCell ref="U10:W10"/>
    <mergeCell ref="S18:T18"/>
    <mergeCell ref="C12:D12"/>
    <mergeCell ref="E10:K10"/>
    <mergeCell ref="S11:T11"/>
    <mergeCell ref="S10:T10"/>
    <mergeCell ref="L10:M10"/>
    <mergeCell ref="N12:O12"/>
    <mergeCell ref="S12:T12"/>
    <mergeCell ref="E12:K12"/>
    <mergeCell ref="N10:O10"/>
    <mergeCell ref="L12:M12"/>
    <mergeCell ref="C5:D5"/>
    <mergeCell ref="E11:F11"/>
    <mergeCell ref="G11:H11"/>
    <mergeCell ref="C10:D10"/>
    <mergeCell ref="I11:J11"/>
    <mergeCell ref="I6:J6"/>
    <mergeCell ref="E5:K5"/>
    <mergeCell ref="C6:D6"/>
    <mergeCell ref="L26:M26"/>
    <mergeCell ref="P26:R26"/>
    <mergeCell ref="S26:T26"/>
    <mergeCell ref="O33:P33"/>
    <mergeCell ref="U33:V33"/>
    <mergeCell ref="M33:N33"/>
    <mergeCell ref="Y27:Z27"/>
    <mergeCell ref="Y29:Z29"/>
    <mergeCell ref="U23:V23"/>
    <mergeCell ref="W23:X23"/>
    <mergeCell ref="S23:T23"/>
    <mergeCell ref="Q33:R33"/>
    <mergeCell ref="M32:N32"/>
    <mergeCell ref="P24:R24"/>
    <mergeCell ref="Q29:R29"/>
    <mergeCell ref="Q25:R25"/>
    <mergeCell ref="X24:AA24"/>
    <mergeCell ref="U28:W28"/>
    <mergeCell ref="X28:AA28"/>
    <mergeCell ref="U24:W24"/>
    <mergeCell ref="U25:V25"/>
    <mergeCell ref="Y25:Z25"/>
    <mergeCell ref="U27:V27"/>
    <mergeCell ref="X26:AA26"/>
    <mergeCell ref="E35:F35"/>
    <mergeCell ref="C34:G34"/>
    <mergeCell ref="C35:D35"/>
    <mergeCell ref="E32:F32"/>
    <mergeCell ref="C48:G48"/>
    <mergeCell ref="C37:D37"/>
    <mergeCell ref="E33:F33"/>
    <mergeCell ref="G33:H33"/>
    <mergeCell ref="C36:G36"/>
    <mergeCell ref="H38:AA38"/>
    <mergeCell ref="I32:J32"/>
    <mergeCell ref="K35:L35"/>
    <mergeCell ref="M35:N35"/>
    <mergeCell ref="Y33:Z33"/>
    <mergeCell ref="Y32:Z32"/>
    <mergeCell ref="W35:X35"/>
    <mergeCell ref="Y35:Z35"/>
    <mergeCell ref="Y37:Z37"/>
    <mergeCell ref="W37:X37"/>
    <mergeCell ref="E37:F37"/>
    <mergeCell ref="I37:J37"/>
    <mergeCell ref="K37:L37"/>
    <mergeCell ref="S35:T35"/>
    <mergeCell ref="M37:N37"/>
    <mergeCell ref="C31:G31"/>
    <mergeCell ref="C25:D25"/>
    <mergeCell ref="E29:F29"/>
    <mergeCell ref="E27:F27"/>
    <mergeCell ref="E25:F25"/>
    <mergeCell ref="C27:D27"/>
    <mergeCell ref="E28:K28"/>
    <mergeCell ref="G27:H27"/>
    <mergeCell ref="I27:J27"/>
    <mergeCell ref="I25:J25"/>
    <mergeCell ref="C29:D29"/>
    <mergeCell ref="G29:H29"/>
    <mergeCell ref="I29:J29"/>
    <mergeCell ref="C26:D26"/>
    <mergeCell ref="G25:H25"/>
    <mergeCell ref="C28:D28"/>
    <mergeCell ref="E26:K26"/>
    <mergeCell ref="N24:O24"/>
    <mergeCell ref="L24:M24"/>
    <mergeCell ref="O23:P23"/>
    <mergeCell ref="I15:J15"/>
    <mergeCell ref="C13:D13"/>
    <mergeCell ref="E13:F13"/>
    <mergeCell ref="G13:H13"/>
    <mergeCell ref="C14:D14"/>
    <mergeCell ref="I13:J13"/>
    <mergeCell ref="C15:D15"/>
    <mergeCell ref="E15:F15"/>
    <mergeCell ref="E14:K14"/>
    <mergeCell ref="I19:J19"/>
    <mergeCell ref="C20:D20"/>
    <mergeCell ref="C18:D18"/>
    <mergeCell ref="C17:D17"/>
    <mergeCell ref="E17:F17"/>
    <mergeCell ref="E18:K18"/>
    <mergeCell ref="G19:H19"/>
    <mergeCell ref="E24:K24"/>
    <mergeCell ref="C24:D24"/>
    <mergeCell ref="I21:J21"/>
    <mergeCell ref="G17:H17"/>
    <mergeCell ref="I17:J17"/>
    <mergeCell ref="X22:AA22"/>
    <mergeCell ref="X20:AA20"/>
    <mergeCell ref="S20:T20"/>
    <mergeCell ref="S22:T22"/>
    <mergeCell ref="Y21:Z21"/>
    <mergeCell ref="W19:X19"/>
    <mergeCell ref="U20:W20"/>
    <mergeCell ref="S21:T21"/>
    <mergeCell ref="U21:V21"/>
    <mergeCell ref="U22:W22"/>
    <mergeCell ref="AB20:AE20"/>
    <mergeCell ref="AE19:AF19"/>
    <mergeCell ref="AF20:AN20"/>
    <mergeCell ref="AG21:AH21"/>
    <mergeCell ref="AI21:AJ21"/>
    <mergeCell ref="AB18:AE18"/>
    <mergeCell ref="AC21:AD21"/>
    <mergeCell ref="AK44:AN44"/>
    <mergeCell ref="AM43:AN43"/>
    <mergeCell ref="AK42:AN42"/>
    <mergeCell ref="AK34:AN34"/>
    <mergeCell ref="AK35:AL35"/>
    <mergeCell ref="AM39:AN39"/>
    <mergeCell ref="AM41:AN41"/>
    <mergeCell ref="AK37:AL37"/>
    <mergeCell ref="AM37:AN37"/>
    <mergeCell ref="AM35:AN35"/>
    <mergeCell ref="AK41:AL41"/>
    <mergeCell ref="AK23:AL23"/>
    <mergeCell ref="AC32:AD32"/>
    <mergeCell ref="AI32:AJ32"/>
    <mergeCell ref="AC23:AD23"/>
    <mergeCell ref="AK40:AN40"/>
    <mergeCell ref="AE35:AF35"/>
    <mergeCell ref="AI19:AJ19"/>
    <mergeCell ref="AG19:AH19"/>
    <mergeCell ref="X18:AA18"/>
    <mergeCell ref="U18:W18"/>
    <mergeCell ref="AK17:AL17"/>
    <mergeCell ref="AK15:AL15"/>
    <mergeCell ref="AI13:AJ13"/>
    <mergeCell ref="AI15:AJ15"/>
    <mergeCell ref="AF18:AN18"/>
    <mergeCell ref="AM19:AN19"/>
    <mergeCell ref="C23:D23"/>
    <mergeCell ref="N20:O20"/>
    <mergeCell ref="L22:M22"/>
    <mergeCell ref="I23:J23"/>
    <mergeCell ref="E23:F23"/>
    <mergeCell ref="G23:H23"/>
    <mergeCell ref="E21:F21"/>
    <mergeCell ref="G21:H21"/>
    <mergeCell ref="M23:N23"/>
    <mergeCell ref="C21:D21"/>
    <mergeCell ref="L16:M16"/>
    <mergeCell ref="P20:R20"/>
    <mergeCell ref="Q21:R21"/>
    <mergeCell ref="L20:M20"/>
    <mergeCell ref="AM13:AN13"/>
    <mergeCell ref="AC15:AD15"/>
    <mergeCell ref="AG15:AH15"/>
    <mergeCell ref="AF14:AN14"/>
    <mergeCell ref="AG13:AH13"/>
    <mergeCell ref="AG17:AH17"/>
    <mergeCell ref="AM15:AN15"/>
    <mergeCell ref="AK13:AL13"/>
    <mergeCell ref="AC19:AD19"/>
    <mergeCell ref="AC17:AD17"/>
    <mergeCell ref="S19:T19"/>
    <mergeCell ref="P18:R18"/>
    <mergeCell ref="K19:L19"/>
    <mergeCell ref="Q19:R19"/>
    <mergeCell ref="Q13:R13"/>
    <mergeCell ref="AB16:AE16"/>
    <mergeCell ref="AF16:AN16"/>
    <mergeCell ref="AM17:AN17"/>
    <mergeCell ref="S16:T16"/>
    <mergeCell ref="AK19:AL19"/>
    <mergeCell ref="U26:W26"/>
    <mergeCell ref="AC25:AD25"/>
    <mergeCell ref="AF26:AN26"/>
    <mergeCell ref="AG25:AH25"/>
    <mergeCell ref="AG33:AH33"/>
    <mergeCell ref="AK29:AL29"/>
    <mergeCell ref="AB31:AJ31"/>
    <mergeCell ref="AB26:AE26"/>
    <mergeCell ref="AC33:AD33"/>
    <mergeCell ref="AA33:AB33"/>
    <mergeCell ref="AK31:AN31"/>
    <mergeCell ref="AM29:AN29"/>
    <mergeCell ref="AI29:AJ29"/>
    <mergeCell ref="AC27:AD27"/>
    <mergeCell ref="AB28:AE28"/>
    <mergeCell ref="AG29:AH29"/>
    <mergeCell ref="AM27:AN27"/>
    <mergeCell ref="AK27:AL27"/>
    <mergeCell ref="AG27:AH27"/>
    <mergeCell ref="AI27:AJ27"/>
    <mergeCell ref="AC29:AD29"/>
    <mergeCell ref="AF28:AN28"/>
    <mergeCell ref="W32:X32"/>
    <mergeCell ref="U29:V29"/>
    <mergeCell ref="H50:AA50"/>
    <mergeCell ref="Q53:R53"/>
    <mergeCell ref="U49:V49"/>
    <mergeCell ref="O49:P49"/>
    <mergeCell ref="O47:P47"/>
    <mergeCell ref="W45:X45"/>
    <mergeCell ref="W49:X49"/>
    <mergeCell ref="M49:N49"/>
    <mergeCell ref="K47:L47"/>
    <mergeCell ref="M47:N47"/>
    <mergeCell ref="S47:T47"/>
    <mergeCell ref="U47:V47"/>
    <mergeCell ref="W47:X47"/>
    <mergeCell ref="Y47:Z47"/>
    <mergeCell ref="S51:T51"/>
    <mergeCell ref="O53:P53"/>
    <mergeCell ref="S53:T53"/>
    <mergeCell ref="Q47:R47"/>
    <mergeCell ref="S45:T45"/>
    <mergeCell ref="Y49:Z49"/>
    <mergeCell ref="Q49:R49"/>
    <mergeCell ref="S49:T49"/>
    <mergeCell ref="I47:J47"/>
    <mergeCell ref="C51:D51"/>
    <mergeCell ref="E51:F51"/>
    <mergeCell ref="C50:G50"/>
    <mergeCell ref="C55:D55"/>
    <mergeCell ref="E55:F55"/>
    <mergeCell ref="I55:J55"/>
    <mergeCell ref="C52:G52"/>
    <mergeCell ref="C54:G54"/>
    <mergeCell ref="C53:D53"/>
    <mergeCell ref="E53:F53"/>
    <mergeCell ref="I53:J53"/>
    <mergeCell ref="I51:J51"/>
    <mergeCell ref="H52:AA52"/>
    <mergeCell ref="O51:P51"/>
    <mergeCell ref="Q51:R51"/>
    <mergeCell ref="K51:L51"/>
    <mergeCell ref="W53:X53"/>
    <mergeCell ref="Y53:Z53"/>
    <mergeCell ref="W51:X51"/>
    <mergeCell ref="U51:V51"/>
    <mergeCell ref="M51:N51"/>
    <mergeCell ref="Y51:Z51"/>
    <mergeCell ref="K55:L55"/>
    <mergeCell ref="M53:N53"/>
    <mergeCell ref="S55:T55"/>
    <mergeCell ref="H54:AA54"/>
    <mergeCell ref="U55:V55"/>
    <mergeCell ref="W55:X55"/>
    <mergeCell ref="M55:N55"/>
    <mergeCell ref="O55:P55"/>
    <mergeCell ref="Q55:R55"/>
    <mergeCell ref="AG53:AH53"/>
    <mergeCell ref="AC53:AD53"/>
    <mergeCell ref="AC55:AD55"/>
    <mergeCell ref="K53:L53"/>
    <mergeCell ref="AE41:AF41"/>
    <mergeCell ref="I41:J41"/>
    <mergeCell ref="Y39:Z39"/>
    <mergeCell ref="Y41:Z41"/>
    <mergeCell ref="U41:V41"/>
    <mergeCell ref="I39:J39"/>
    <mergeCell ref="Q39:R39"/>
    <mergeCell ref="AC39:AD39"/>
    <mergeCell ref="Y45:Z45"/>
    <mergeCell ref="K43:L43"/>
    <mergeCell ref="U45:V45"/>
    <mergeCell ref="AE37:AF37"/>
    <mergeCell ref="AG37:AH37"/>
    <mergeCell ref="W39:X39"/>
    <mergeCell ref="O37:P37"/>
    <mergeCell ref="Q37:R37"/>
    <mergeCell ref="S37:T37"/>
    <mergeCell ref="AE39:AF39"/>
    <mergeCell ref="AG39:AH39"/>
    <mergeCell ref="AB42:AJ42"/>
    <mergeCell ref="Q41:R41"/>
    <mergeCell ref="S41:T41"/>
    <mergeCell ref="H42:AA42"/>
    <mergeCell ref="K41:L41"/>
    <mergeCell ref="AC37:AD37"/>
    <mergeCell ref="S39:T39"/>
    <mergeCell ref="U39:V39"/>
    <mergeCell ref="AI39:AJ39"/>
    <mergeCell ref="AI41:AJ41"/>
    <mergeCell ref="AG41:AH41"/>
    <mergeCell ref="W41:X41"/>
    <mergeCell ref="H40:AA40"/>
    <mergeCell ref="AC41:AD41"/>
    <mergeCell ref="M41:N41"/>
    <mergeCell ref="O41:P41"/>
    <mergeCell ref="AE51:AF51"/>
    <mergeCell ref="AE53:AF53"/>
    <mergeCell ref="AG51:AH51"/>
    <mergeCell ref="AC45:AD45"/>
    <mergeCell ref="AC43:AD43"/>
    <mergeCell ref="AB44:AJ44"/>
    <mergeCell ref="AG43:AH43"/>
    <mergeCell ref="AE43:AF43"/>
    <mergeCell ref="AC51:AD51"/>
    <mergeCell ref="AB52:AJ52"/>
    <mergeCell ref="AI53:AJ53"/>
    <mergeCell ref="AB50:AJ50"/>
    <mergeCell ref="AI51:AJ51"/>
    <mergeCell ref="AG47:AH47"/>
    <mergeCell ref="AE47:AF47"/>
    <mergeCell ref="AE49:AF49"/>
    <mergeCell ref="AG49:AH49"/>
    <mergeCell ref="AI49:AJ49"/>
    <mergeCell ref="AC47:AD47"/>
    <mergeCell ref="AC49:AD49"/>
    <mergeCell ref="AB46:AJ46"/>
    <mergeCell ref="H34:AA34"/>
    <mergeCell ref="O35:P35"/>
    <mergeCell ref="U35:V35"/>
    <mergeCell ref="U37:V37"/>
    <mergeCell ref="S32:T32"/>
    <mergeCell ref="H36:AA36"/>
    <mergeCell ref="S33:T33"/>
    <mergeCell ref="O32:P32"/>
    <mergeCell ref="Q32:R32"/>
    <mergeCell ref="U32:V32"/>
    <mergeCell ref="I35:J35"/>
    <mergeCell ref="K33:L33"/>
    <mergeCell ref="Q35:R35"/>
    <mergeCell ref="S24:T24"/>
    <mergeCell ref="AP82:AQ82"/>
    <mergeCell ref="AI43:AJ43"/>
    <mergeCell ref="H46:AA46"/>
    <mergeCell ref="AM55:AN55"/>
    <mergeCell ref="AK49:AL49"/>
    <mergeCell ref="AK51:AL51"/>
    <mergeCell ref="AK48:AN48"/>
    <mergeCell ref="AP68:AQ68"/>
    <mergeCell ref="U43:V43"/>
    <mergeCell ref="I43:J43"/>
    <mergeCell ref="AP80:AQ80"/>
    <mergeCell ref="AP72:AQ72"/>
    <mergeCell ref="AP74:AQ74"/>
    <mergeCell ref="AP76:AQ76"/>
    <mergeCell ref="AP78:AQ78"/>
    <mergeCell ref="AP66:AQ66"/>
    <mergeCell ref="AP60:AQ60"/>
    <mergeCell ref="AP62:AQ62"/>
    <mergeCell ref="AK54:AN54"/>
    <mergeCell ref="Y55:Z55"/>
    <mergeCell ref="AI55:AJ55"/>
    <mergeCell ref="U53:V53"/>
    <mergeCell ref="AB54:AJ54"/>
    <mergeCell ref="C44:G44"/>
    <mergeCell ref="C43:D43"/>
    <mergeCell ref="E45:F45"/>
    <mergeCell ref="C45:D45"/>
    <mergeCell ref="O45:P45"/>
    <mergeCell ref="A2:AN2"/>
    <mergeCell ref="K39:L39"/>
    <mergeCell ref="M39:N39"/>
    <mergeCell ref="O39:P39"/>
    <mergeCell ref="S27:T27"/>
    <mergeCell ref="S29:T29"/>
    <mergeCell ref="S28:T28"/>
    <mergeCell ref="C19:D19"/>
    <mergeCell ref="M19:N19"/>
    <mergeCell ref="L18:M18"/>
    <mergeCell ref="A42:A45"/>
    <mergeCell ref="C42:G42"/>
    <mergeCell ref="N26:O26"/>
    <mergeCell ref="O19:P19"/>
    <mergeCell ref="N28:O28"/>
    <mergeCell ref="P28:R28"/>
    <mergeCell ref="A16:A19"/>
    <mergeCell ref="C16:D16"/>
    <mergeCell ref="E16:K16"/>
    <mergeCell ref="AM45:AN45"/>
    <mergeCell ref="W43:X43"/>
    <mergeCell ref="Y43:Z43"/>
    <mergeCell ref="S43:T43"/>
    <mergeCell ref="AP70:AQ70"/>
    <mergeCell ref="AE45:AF45"/>
    <mergeCell ref="AG45:AH45"/>
    <mergeCell ref="AI45:AJ45"/>
    <mergeCell ref="AK45:AL45"/>
    <mergeCell ref="AK53:AL53"/>
    <mergeCell ref="AK55:AL55"/>
    <mergeCell ref="H44:AA44"/>
    <mergeCell ref="M45:N45"/>
    <mergeCell ref="I45:J45"/>
    <mergeCell ref="K45:L45"/>
    <mergeCell ref="Q45:R45"/>
    <mergeCell ref="AI47:AJ47"/>
    <mergeCell ref="H48:AA48"/>
    <mergeCell ref="I49:J49"/>
    <mergeCell ref="K49:L49"/>
    <mergeCell ref="Q43:R43"/>
    <mergeCell ref="M43:N43"/>
    <mergeCell ref="O43:P43"/>
    <mergeCell ref="AE55:AF55"/>
  </mergeCells>
  <phoneticPr fontId="22"/>
  <printOptions horizontalCentered="1"/>
  <pageMargins left="0.59055118110236227" right="0.59055118110236227" top="0.78740157480314965" bottom="0.78740157480314965" header="0.51181102362204722" footer="0.51181102362204722"/>
  <pageSetup paperSize="9" scale="65"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ransitionEvaluation="1" transitionEntry="1" codeName="Sheet3">
    <tabColor indexed="10"/>
    <pageSetUpPr autoPageBreaks="0" fitToPage="1"/>
  </sheetPr>
  <dimension ref="A1:AH50"/>
  <sheetViews>
    <sheetView showGridLines="0" zoomScaleNormal="100" workbookViewId="0"/>
  </sheetViews>
  <sheetFormatPr defaultColWidth="10.75" defaultRowHeight="14"/>
  <cols>
    <col min="1" max="16384" width="10.75" style="15"/>
  </cols>
  <sheetData>
    <row r="1" spans="1:34" ht="16.5">
      <c r="A1" s="1"/>
      <c r="B1" s="7" t="s">
        <v>1194</v>
      </c>
      <c r="C1" s="1"/>
      <c r="D1" s="1"/>
      <c r="E1" s="1"/>
      <c r="F1" s="1"/>
      <c r="G1" s="1"/>
      <c r="H1" s="1"/>
      <c r="I1" s="1"/>
      <c r="J1" s="1"/>
      <c r="K1" s="1"/>
      <c r="L1" s="1"/>
      <c r="M1" s="1"/>
      <c r="N1" s="1"/>
      <c r="O1" s="1"/>
      <c r="P1" s="1"/>
      <c r="Q1" s="1"/>
      <c r="R1" s="14"/>
    </row>
    <row r="2" spans="1:34" ht="16.5">
      <c r="A2" s="1"/>
      <c r="B2" s="1266" t="str">
        <f>IF(AND(基本入力!G21=0,販売量ﾃﾞｰﾀ!C17=0),"※非規制需要のデータを入力してください。","")</f>
        <v/>
      </c>
      <c r="C2" s="1"/>
      <c r="D2" s="1"/>
      <c r="E2" s="1"/>
      <c r="F2" s="1"/>
      <c r="G2" s="1"/>
      <c r="H2" s="1266" t="str">
        <f>IF(AND(基本入力!G20=0,販売量ﾃﾞｰﾀ!I17=0),"※旧特定ガス大口契約のデータを入力してください。","")</f>
        <v/>
      </c>
      <c r="I2" s="1"/>
      <c r="J2" s="1"/>
      <c r="K2" s="1"/>
      <c r="L2" s="1"/>
      <c r="M2" s="1"/>
      <c r="N2" s="1"/>
      <c r="O2" s="1"/>
      <c r="P2" s="1"/>
      <c r="Q2" s="1"/>
      <c r="R2" s="14"/>
    </row>
    <row r="3" spans="1:34" ht="16.5">
      <c r="A3" s="1"/>
      <c r="B3" s="7" t="s">
        <v>1195</v>
      </c>
      <c r="C3" s="1"/>
      <c r="D3" s="1"/>
      <c r="E3" s="1"/>
      <c r="F3" s="1"/>
      <c r="H3" s="7" t="s">
        <v>1193</v>
      </c>
      <c r="I3" s="1"/>
      <c r="J3" s="1"/>
      <c r="K3" s="1"/>
      <c r="R3" s="14"/>
      <c r="X3" s="1"/>
      <c r="Y3" s="9"/>
      <c r="Z3" s="9"/>
      <c r="AA3" s="9"/>
      <c r="AB3" s="9"/>
    </row>
    <row r="4" spans="1:34" ht="16.5">
      <c r="A4" s="1"/>
      <c r="B4" s="557" t="s">
        <v>1028</v>
      </c>
      <c r="C4" s="1295" t="s">
        <v>1035</v>
      </c>
      <c r="D4" s="1295"/>
      <c r="E4" s="1295"/>
      <c r="F4" s="556" t="s">
        <v>137</v>
      </c>
      <c r="H4" s="3" t="s">
        <v>1027</v>
      </c>
      <c r="I4" s="1296"/>
      <c r="J4" s="1296"/>
      <c r="K4" s="1296"/>
      <c r="L4" s="1296"/>
      <c r="M4" s="1296"/>
      <c r="N4" s="1296"/>
      <c r="O4" s="1296"/>
      <c r="P4" s="1296"/>
      <c r="Q4" s="8" t="s">
        <v>137</v>
      </c>
      <c r="W4" s="16"/>
      <c r="X4" s="13"/>
      <c r="Y4" s="16"/>
      <c r="Z4" s="16"/>
      <c r="AA4" s="16"/>
      <c r="AB4" s="16"/>
      <c r="AC4" s="16"/>
      <c r="AD4" s="9"/>
      <c r="AE4" s="9"/>
      <c r="AF4" s="10"/>
      <c r="AG4" s="10"/>
      <c r="AH4" s="10"/>
    </row>
    <row r="5" spans="1:34" ht="16.5">
      <c r="A5" s="1"/>
      <c r="B5" s="442" t="s">
        <v>138</v>
      </c>
      <c r="C5" s="1253"/>
      <c r="D5" s="1253"/>
      <c r="E5" s="1253"/>
      <c r="F5" s="679">
        <f t="shared" ref="F5:F17" si="0">SUM(C5:E5)</f>
        <v>0</v>
      </c>
      <c r="G5" s="438"/>
      <c r="H5" s="439" t="s">
        <v>138</v>
      </c>
      <c r="I5" s="681"/>
      <c r="J5" s="681"/>
      <c r="K5" s="681"/>
      <c r="L5" s="681"/>
      <c r="M5" s="681"/>
      <c r="N5" s="681"/>
      <c r="O5" s="681"/>
      <c r="P5" s="681"/>
      <c r="Q5" s="680">
        <f t="shared" ref="Q5:Q17" si="1">SUM(I5:P5)</f>
        <v>0</v>
      </c>
      <c r="W5" s="16"/>
      <c r="X5" s="13"/>
      <c r="Y5" s="16"/>
      <c r="Z5" s="16"/>
      <c r="AA5" s="16"/>
      <c r="AB5" s="16"/>
      <c r="AC5" s="16"/>
      <c r="AD5" s="9"/>
      <c r="AE5" s="11"/>
      <c r="AF5" s="10"/>
      <c r="AG5" s="10"/>
      <c r="AH5" s="10"/>
    </row>
    <row r="6" spans="1:34" ht="16.5">
      <c r="A6" s="1"/>
      <c r="B6" s="3" t="s">
        <v>139</v>
      </c>
      <c r="C6" s="681"/>
      <c r="D6" s="681"/>
      <c r="E6" s="681"/>
      <c r="F6" s="680">
        <f t="shared" si="0"/>
        <v>0</v>
      </c>
      <c r="G6" s="438"/>
      <c r="H6" s="439" t="s">
        <v>139</v>
      </c>
      <c r="I6" s="681"/>
      <c r="J6" s="681"/>
      <c r="K6" s="681"/>
      <c r="L6" s="681"/>
      <c r="M6" s="681"/>
      <c r="N6" s="681"/>
      <c r="O6" s="681"/>
      <c r="P6" s="681"/>
      <c r="Q6" s="680">
        <f t="shared" si="1"/>
        <v>0</v>
      </c>
      <c r="W6" s="16"/>
      <c r="X6" s="13"/>
      <c r="Y6" s="16"/>
      <c r="Z6" s="16"/>
      <c r="AA6" s="16"/>
      <c r="AB6" s="16"/>
      <c r="AC6" s="16"/>
      <c r="AD6" s="9"/>
      <c r="AE6" s="11"/>
      <c r="AF6" s="10"/>
      <c r="AG6" s="10"/>
      <c r="AH6" s="10"/>
    </row>
    <row r="7" spans="1:34" ht="16.5">
      <c r="A7" s="1"/>
      <c r="B7" s="3" t="s">
        <v>140</v>
      </c>
      <c r="C7" s="681"/>
      <c r="D7" s="681"/>
      <c r="E7" s="681"/>
      <c r="F7" s="680">
        <f t="shared" si="0"/>
        <v>0</v>
      </c>
      <c r="G7" s="438"/>
      <c r="H7" s="439" t="s">
        <v>140</v>
      </c>
      <c r="I7" s="681"/>
      <c r="J7" s="681"/>
      <c r="K7" s="681"/>
      <c r="L7" s="681"/>
      <c r="M7" s="681"/>
      <c r="N7" s="681"/>
      <c r="O7" s="681"/>
      <c r="P7" s="681"/>
      <c r="Q7" s="680">
        <f t="shared" si="1"/>
        <v>0</v>
      </c>
      <c r="W7" s="16"/>
      <c r="X7" s="13"/>
      <c r="Y7" s="16"/>
      <c r="Z7" s="16"/>
      <c r="AA7" s="16"/>
      <c r="AB7" s="16"/>
      <c r="AC7" s="16"/>
      <c r="AD7" s="9"/>
      <c r="AE7" s="11"/>
      <c r="AF7" s="10"/>
      <c r="AG7" s="10"/>
      <c r="AH7" s="10"/>
    </row>
    <row r="8" spans="1:34" ht="16.5">
      <c r="A8" s="1"/>
      <c r="B8" s="3" t="s">
        <v>141</v>
      </c>
      <c r="C8" s="681"/>
      <c r="D8" s="681"/>
      <c r="E8" s="681"/>
      <c r="F8" s="680">
        <f t="shared" si="0"/>
        <v>0</v>
      </c>
      <c r="G8" s="438"/>
      <c r="H8" s="439" t="s">
        <v>141</v>
      </c>
      <c r="I8" s="681"/>
      <c r="J8" s="681"/>
      <c r="K8" s="681"/>
      <c r="L8" s="681"/>
      <c r="M8" s="681"/>
      <c r="N8" s="681"/>
      <c r="O8" s="681"/>
      <c r="P8" s="681"/>
      <c r="Q8" s="680">
        <f t="shared" si="1"/>
        <v>0</v>
      </c>
      <c r="W8" s="16"/>
      <c r="X8" s="13"/>
      <c r="Y8" s="16"/>
      <c r="Z8" s="16"/>
      <c r="AA8" s="16"/>
      <c r="AB8" s="16"/>
      <c r="AC8" s="16"/>
      <c r="AD8" s="9"/>
      <c r="AE8" s="11"/>
      <c r="AF8" s="10"/>
      <c r="AG8" s="10"/>
      <c r="AH8" s="10"/>
    </row>
    <row r="9" spans="1:34" ht="16.5">
      <c r="A9" s="1"/>
      <c r="B9" s="3" t="s">
        <v>142</v>
      </c>
      <c r="C9" s="681"/>
      <c r="D9" s="681"/>
      <c r="E9" s="681"/>
      <c r="F9" s="680">
        <f t="shared" si="0"/>
        <v>0</v>
      </c>
      <c r="G9" s="438"/>
      <c r="H9" s="439" t="s">
        <v>142</v>
      </c>
      <c r="I9" s="681"/>
      <c r="J9" s="681"/>
      <c r="K9" s="681"/>
      <c r="L9" s="681"/>
      <c r="M9" s="681"/>
      <c r="N9" s="681"/>
      <c r="O9" s="681"/>
      <c r="P9" s="681"/>
      <c r="Q9" s="680">
        <f t="shared" si="1"/>
        <v>0</v>
      </c>
      <c r="W9" s="16"/>
      <c r="X9" s="13"/>
      <c r="Y9" s="16"/>
      <c r="Z9" s="16"/>
      <c r="AA9" s="16"/>
      <c r="AB9" s="16"/>
      <c r="AC9" s="16"/>
      <c r="AD9" s="9"/>
      <c r="AE9" s="11"/>
      <c r="AF9" s="10"/>
      <c r="AG9" s="10"/>
      <c r="AH9" s="10"/>
    </row>
    <row r="10" spans="1:34" ht="16.5">
      <c r="A10" s="1"/>
      <c r="B10" s="3" t="s">
        <v>143</v>
      </c>
      <c r="C10" s="681"/>
      <c r="D10" s="681"/>
      <c r="E10" s="681"/>
      <c r="F10" s="680">
        <f t="shared" si="0"/>
        <v>0</v>
      </c>
      <c r="G10" s="438"/>
      <c r="H10" s="439" t="s">
        <v>143</v>
      </c>
      <c r="I10" s="681"/>
      <c r="J10" s="681"/>
      <c r="K10" s="681"/>
      <c r="L10" s="681"/>
      <c r="M10" s="681"/>
      <c r="N10" s="681"/>
      <c r="O10" s="681"/>
      <c r="P10" s="681"/>
      <c r="Q10" s="680">
        <f t="shared" si="1"/>
        <v>0</v>
      </c>
      <c r="W10" s="16"/>
      <c r="X10" s="13"/>
      <c r="Y10" s="16"/>
      <c r="Z10" s="16"/>
      <c r="AA10" s="16"/>
      <c r="AB10" s="16"/>
      <c r="AC10" s="16"/>
      <c r="AD10" s="9"/>
      <c r="AE10" s="11"/>
      <c r="AF10" s="10"/>
      <c r="AG10" s="10"/>
      <c r="AH10" s="10"/>
    </row>
    <row r="11" spans="1:34" ht="16.5">
      <c r="A11" s="1"/>
      <c r="B11" s="3" t="s">
        <v>144</v>
      </c>
      <c r="C11" s="681"/>
      <c r="D11" s="681"/>
      <c r="E11" s="681"/>
      <c r="F11" s="680">
        <f t="shared" si="0"/>
        <v>0</v>
      </c>
      <c r="G11" s="438"/>
      <c r="H11" s="439" t="s">
        <v>144</v>
      </c>
      <c r="I11" s="681"/>
      <c r="J11" s="681"/>
      <c r="K11" s="681"/>
      <c r="L11" s="681"/>
      <c r="M11" s="681"/>
      <c r="N11" s="681"/>
      <c r="O11" s="681"/>
      <c r="P11" s="681"/>
      <c r="Q11" s="680">
        <f t="shared" si="1"/>
        <v>0</v>
      </c>
      <c r="W11" s="16"/>
      <c r="X11" s="13"/>
      <c r="Y11" s="16"/>
      <c r="Z11" s="16"/>
      <c r="AA11" s="16"/>
      <c r="AB11" s="16"/>
      <c r="AC11" s="16"/>
      <c r="AD11" s="9"/>
      <c r="AE11" s="11"/>
      <c r="AF11" s="10"/>
      <c r="AG11" s="10"/>
      <c r="AH11" s="10"/>
    </row>
    <row r="12" spans="1:34" ht="16.5">
      <c r="A12" s="1"/>
      <c r="B12" s="3" t="s">
        <v>145</v>
      </c>
      <c r="C12" s="681"/>
      <c r="D12" s="681"/>
      <c r="E12" s="681"/>
      <c r="F12" s="680">
        <f t="shared" si="0"/>
        <v>0</v>
      </c>
      <c r="G12" s="438"/>
      <c r="H12" s="439" t="s">
        <v>145</v>
      </c>
      <c r="I12" s="681"/>
      <c r="J12" s="681"/>
      <c r="K12" s="681"/>
      <c r="L12" s="681"/>
      <c r="M12" s="681"/>
      <c r="N12" s="681"/>
      <c r="O12" s="681"/>
      <c r="P12" s="681"/>
      <c r="Q12" s="680">
        <f t="shared" si="1"/>
        <v>0</v>
      </c>
      <c r="W12" s="16"/>
      <c r="X12" s="13"/>
      <c r="Y12" s="16"/>
      <c r="Z12" s="16"/>
      <c r="AA12" s="16"/>
      <c r="AB12" s="16"/>
      <c r="AC12" s="16"/>
      <c r="AD12" s="9"/>
      <c r="AE12" s="11"/>
      <c r="AF12" s="10"/>
      <c r="AG12" s="10"/>
      <c r="AH12" s="10"/>
    </row>
    <row r="13" spans="1:34" ht="16.5">
      <c r="A13" s="1"/>
      <c r="B13" s="3" t="s">
        <v>146</v>
      </c>
      <c r="C13" s="681"/>
      <c r="D13" s="681"/>
      <c r="E13" s="681"/>
      <c r="F13" s="680">
        <f t="shared" si="0"/>
        <v>0</v>
      </c>
      <c r="G13" s="438"/>
      <c r="H13" s="439" t="s">
        <v>146</v>
      </c>
      <c r="I13" s="681"/>
      <c r="J13" s="681"/>
      <c r="K13" s="681"/>
      <c r="L13" s="681"/>
      <c r="M13" s="681"/>
      <c r="N13" s="681"/>
      <c r="O13" s="681"/>
      <c r="P13" s="681"/>
      <c r="Q13" s="680">
        <f t="shared" si="1"/>
        <v>0</v>
      </c>
      <c r="W13" s="16"/>
      <c r="X13" s="13"/>
      <c r="Y13" s="16"/>
      <c r="Z13" s="16"/>
      <c r="AA13" s="16"/>
      <c r="AB13" s="16"/>
      <c r="AC13" s="16"/>
      <c r="AD13" s="9"/>
      <c r="AE13" s="11"/>
      <c r="AF13" s="10"/>
      <c r="AG13" s="10"/>
      <c r="AH13" s="10"/>
    </row>
    <row r="14" spans="1:34" ht="16.5">
      <c r="A14" s="1"/>
      <c r="B14" s="3" t="s">
        <v>147</v>
      </c>
      <c r="C14" s="681"/>
      <c r="D14" s="681"/>
      <c r="E14" s="681"/>
      <c r="F14" s="680">
        <f t="shared" si="0"/>
        <v>0</v>
      </c>
      <c r="G14" s="438"/>
      <c r="H14" s="439" t="s">
        <v>147</v>
      </c>
      <c r="I14" s="681"/>
      <c r="J14" s="681"/>
      <c r="K14" s="681"/>
      <c r="L14" s="681"/>
      <c r="M14" s="681"/>
      <c r="N14" s="681"/>
      <c r="O14" s="681"/>
      <c r="P14" s="681"/>
      <c r="Q14" s="680">
        <f t="shared" si="1"/>
        <v>0</v>
      </c>
      <c r="W14" s="16"/>
      <c r="X14" s="13"/>
      <c r="Y14" s="16"/>
      <c r="Z14" s="16"/>
      <c r="AA14" s="16"/>
      <c r="AB14" s="16"/>
      <c r="AC14" s="16"/>
      <c r="AD14" s="9"/>
      <c r="AE14" s="11"/>
      <c r="AF14" s="10"/>
      <c r="AG14" s="10"/>
      <c r="AH14" s="10"/>
    </row>
    <row r="15" spans="1:34" ht="16.5">
      <c r="A15" s="1"/>
      <c r="B15" s="3" t="s">
        <v>148</v>
      </c>
      <c r="C15" s="681"/>
      <c r="D15" s="681"/>
      <c r="E15" s="681"/>
      <c r="F15" s="680">
        <f t="shared" si="0"/>
        <v>0</v>
      </c>
      <c r="G15" s="438"/>
      <c r="H15" s="439" t="s">
        <v>148</v>
      </c>
      <c r="I15" s="681"/>
      <c r="J15" s="681"/>
      <c r="K15" s="681"/>
      <c r="L15" s="681"/>
      <c r="M15" s="681"/>
      <c r="N15" s="681"/>
      <c r="O15" s="681"/>
      <c r="P15" s="681"/>
      <c r="Q15" s="680">
        <f t="shared" si="1"/>
        <v>0</v>
      </c>
      <c r="W15" s="16"/>
      <c r="X15" s="13"/>
      <c r="Y15" s="16"/>
      <c r="Z15" s="16"/>
      <c r="AA15" s="16"/>
      <c r="AB15" s="16"/>
      <c r="AC15" s="16"/>
      <c r="AD15" s="9"/>
      <c r="AE15" s="11"/>
      <c r="AF15" s="10"/>
      <c r="AG15" s="10"/>
      <c r="AH15" s="10"/>
    </row>
    <row r="16" spans="1:34" ht="16.5">
      <c r="A16" s="1"/>
      <c r="B16" s="3" t="s">
        <v>149</v>
      </c>
      <c r="C16" s="681"/>
      <c r="D16" s="681"/>
      <c r="E16" s="681"/>
      <c r="F16" s="680">
        <f t="shared" si="0"/>
        <v>0</v>
      </c>
      <c r="G16" s="438"/>
      <c r="H16" s="439" t="s">
        <v>149</v>
      </c>
      <c r="I16" s="681"/>
      <c r="J16" s="681"/>
      <c r="K16" s="681"/>
      <c r="L16" s="681"/>
      <c r="M16" s="681"/>
      <c r="N16" s="681"/>
      <c r="O16" s="681"/>
      <c r="P16" s="681"/>
      <c r="Q16" s="680">
        <f t="shared" si="1"/>
        <v>0</v>
      </c>
      <c r="W16" s="16"/>
      <c r="X16" s="13"/>
      <c r="Y16" s="16"/>
      <c r="Z16" s="16"/>
      <c r="AA16" s="16"/>
      <c r="AB16" s="16"/>
      <c r="AC16" s="16"/>
      <c r="AD16" s="9"/>
      <c r="AE16" s="11"/>
      <c r="AF16" s="10"/>
      <c r="AG16" s="10"/>
      <c r="AH16" s="10"/>
    </row>
    <row r="17" spans="1:34" ht="16.5">
      <c r="A17" s="1"/>
      <c r="B17" s="3" t="s">
        <v>150</v>
      </c>
      <c r="C17" s="674" t="str">
        <f>IF(SUM(C5:C16)=0,"",SUM(C5:C16))</f>
        <v/>
      </c>
      <c r="D17" s="674" t="str">
        <f>IF(SUM(D5:D16)=0,"",SUM(D5:D16))</f>
        <v/>
      </c>
      <c r="E17" s="674" t="str">
        <f>IF(SUM(E5:E16)=0,"",SUM(E5:E16))</f>
        <v/>
      </c>
      <c r="F17" s="680">
        <f t="shared" si="0"/>
        <v>0</v>
      </c>
      <c r="G17" s="438"/>
      <c r="H17" s="439" t="s">
        <v>150</v>
      </c>
      <c r="I17" s="674" t="str">
        <f>IF(SUM(I5:I16)=0,"",SUM(I5:I16))</f>
        <v/>
      </c>
      <c r="J17" s="674" t="str">
        <f t="shared" ref="J17:P17" si="2">IF(SUM(J5:J16)=0,"",SUM(J5:J16))</f>
        <v/>
      </c>
      <c r="K17" s="674" t="str">
        <f t="shared" si="2"/>
        <v/>
      </c>
      <c r="L17" s="674" t="str">
        <f t="shared" si="2"/>
        <v/>
      </c>
      <c r="M17" s="674" t="str">
        <f t="shared" si="2"/>
        <v/>
      </c>
      <c r="N17" s="674" t="str">
        <f t="shared" si="2"/>
        <v/>
      </c>
      <c r="O17" s="674" t="str">
        <f t="shared" si="2"/>
        <v/>
      </c>
      <c r="P17" s="674" t="str">
        <f t="shared" si="2"/>
        <v/>
      </c>
      <c r="Q17" s="680">
        <f t="shared" si="1"/>
        <v>0</v>
      </c>
      <c r="W17" s="16"/>
      <c r="X17" s="13"/>
      <c r="Y17" s="16"/>
      <c r="Z17" s="16"/>
      <c r="AA17" s="16"/>
      <c r="AB17" s="16"/>
      <c r="AC17" s="16"/>
      <c r="AD17" s="9"/>
      <c r="AE17" s="11"/>
      <c r="AF17" s="9"/>
      <c r="AG17" s="9"/>
      <c r="AH17" s="9"/>
    </row>
    <row r="18" spans="1:34" ht="16.5">
      <c r="A18" s="1"/>
      <c r="B18" s="5" t="s">
        <v>861</v>
      </c>
      <c r="C18" s="681"/>
      <c r="D18" s="681"/>
      <c r="E18" s="681"/>
      <c r="F18" s="675" t="s">
        <v>1032</v>
      </c>
      <c r="G18" s="438"/>
      <c r="H18" s="5" t="s">
        <v>861</v>
      </c>
      <c r="I18" s="681"/>
      <c r="J18" s="681"/>
      <c r="K18" s="681"/>
      <c r="L18" s="681"/>
      <c r="M18" s="681"/>
      <c r="N18" s="681"/>
      <c r="O18" s="681"/>
      <c r="P18" s="1256"/>
      <c r="Q18" s="675" t="s">
        <v>1032</v>
      </c>
      <c r="V18" s="16"/>
      <c r="W18" s="13"/>
      <c r="X18" s="16"/>
      <c r="Y18" s="16"/>
      <c r="Z18" s="16"/>
      <c r="AA18" s="16"/>
      <c r="AB18" s="16"/>
      <c r="AC18" s="9"/>
      <c r="AD18" s="12"/>
      <c r="AE18" s="10"/>
      <c r="AF18" s="10"/>
      <c r="AG18" s="10"/>
    </row>
    <row r="19" spans="1:34" ht="16.5">
      <c r="A19" s="1"/>
      <c r="B19" s="5" t="s">
        <v>151</v>
      </c>
      <c r="C19" s="674">
        <f>C18*D22</f>
        <v>0</v>
      </c>
      <c r="D19" s="674">
        <f>D18*D20</f>
        <v>0</v>
      </c>
      <c r="E19" s="674">
        <f>E18*E20</f>
        <v>0</v>
      </c>
      <c r="F19" s="680">
        <f>SUM(C19:E19)</f>
        <v>0</v>
      </c>
      <c r="G19" s="438"/>
      <c r="H19" s="440" t="s">
        <v>151</v>
      </c>
      <c r="I19" s="938">
        <f>I18*COUNT(I5:I16)</f>
        <v>0</v>
      </c>
      <c r="J19" s="938">
        <f t="shared" ref="J19:P19" si="3">J18*COUNT(J5:J16)</f>
        <v>0</v>
      </c>
      <c r="K19" s="938">
        <f t="shared" si="3"/>
        <v>0</v>
      </c>
      <c r="L19" s="939">
        <f t="shared" si="3"/>
        <v>0</v>
      </c>
      <c r="M19" s="939">
        <f t="shared" si="3"/>
        <v>0</v>
      </c>
      <c r="N19" s="939">
        <f t="shared" si="3"/>
        <v>0</v>
      </c>
      <c r="O19" s="939">
        <f t="shared" si="3"/>
        <v>0</v>
      </c>
      <c r="P19" s="939">
        <f t="shared" si="3"/>
        <v>0</v>
      </c>
      <c r="Q19" s="940">
        <f>SUM(I19:P19)</f>
        <v>0</v>
      </c>
      <c r="V19" s="16"/>
      <c r="W19" s="13"/>
      <c r="X19" s="16"/>
      <c r="Y19" s="16"/>
      <c r="Z19" s="16"/>
      <c r="AA19" s="16"/>
      <c r="AB19" s="16"/>
      <c r="AC19" s="9"/>
      <c r="AD19" s="12"/>
      <c r="AE19" s="9"/>
      <c r="AF19" s="9"/>
      <c r="AG19" s="9"/>
    </row>
    <row r="20" spans="1:34" ht="16.5">
      <c r="A20" s="1"/>
      <c r="B20" s="559" t="s">
        <v>1030</v>
      </c>
      <c r="C20" s="682"/>
      <c r="D20" s="682"/>
      <c r="E20" s="682"/>
      <c r="F20" s="559"/>
      <c r="H20" s="6"/>
      <c r="I20" s="685"/>
      <c r="J20" s="685"/>
      <c r="K20" s="685"/>
      <c r="L20" s="686"/>
      <c r="M20" s="686"/>
      <c r="N20" s="686"/>
      <c r="O20" s="686"/>
      <c r="P20" s="686"/>
      <c r="Q20" s="687"/>
      <c r="R20" s="13"/>
      <c r="S20" s="16"/>
      <c r="T20" s="16"/>
      <c r="U20" s="16"/>
      <c r="V20" s="16"/>
      <c r="W20" s="16"/>
      <c r="X20" s="9"/>
      <c r="Y20" s="9"/>
      <c r="Z20" s="9"/>
      <c r="AA20" s="9"/>
      <c r="AB20" s="9"/>
    </row>
    <row r="21" spans="1:34" ht="16.5">
      <c r="A21" s="1"/>
      <c r="B21" s="1" t="s">
        <v>152</v>
      </c>
      <c r="C21" s="683"/>
      <c r="D21" s="909"/>
      <c r="E21" s="683" t="s">
        <v>1070</v>
      </c>
      <c r="F21" s="1684"/>
      <c r="G21" s="1684"/>
      <c r="H21" s="1" t="s">
        <v>152</v>
      </c>
      <c r="I21" s="683"/>
      <c r="J21" s="700">
        <f>COUNT(I17:P17)</f>
        <v>0</v>
      </c>
      <c r="K21" s="683" t="s">
        <v>1070</v>
      </c>
      <c r="L21" s="686"/>
      <c r="M21" s="686"/>
      <c r="N21" s="686"/>
      <c r="O21" s="686"/>
      <c r="P21" s="686"/>
      <c r="Q21" s="687"/>
      <c r="R21" s="13"/>
      <c r="S21" s="16"/>
      <c r="T21" s="16"/>
      <c r="U21" s="16"/>
      <c r="V21" s="16"/>
      <c r="W21" s="16"/>
      <c r="X21" s="9"/>
      <c r="Y21" s="9"/>
      <c r="Z21" s="9"/>
      <c r="AA21" s="10"/>
      <c r="AB21" s="13"/>
    </row>
    <row r="22" spans="1:34" ht="16.5">
      <c r="A22" s="1"/>
      <c r="B22" s="1" t="s">
        <v>153</v>
      </c>
      <c r="C22" s="683"/>
      <c r="D22" s="909"/>
      <c r="E22" s="683" t="s">
        <v>1070</v>
      </c>
      <c r="F22" s="847"/>
      <c r="G22" s="848"/>
      <c r="H22" s="1" t="s">
        <v>153</v>
      </c>
      <c r="I22" s="683"/>
      <c r="J22" s="700">
        <f>COUNT(I5:P16)</f>
        <v>0</v>
      </c>
      <c r="K22" s="683" t="s">
        <v>1070</v>
      </c>
      <c r="L22" s="686"/>
      <c r="M22" s="686"/>
      <c r="N22" s="686"/>
      <c r="O22" s="686"/>
      <c r="P22" s="686"/>
      <c r="Q22" s="686"/>
      <c r="R22" s="14"/>
      <c r="X22" s="1"/>
      <c r="Y22" s="9"/>
      <c r="Z22" s="9"/>
      <c r="AA22" s="10"/>
      <c r="AB22" s="13"/>
    </row>
    <row r="23" spans="1:34" ht="16.5">
      <c r="A23" s="1"/>
      <c r="B23" s="1" t="s">
        <v>154</v>
      </c>
      <c r="C23" s="683"/>
      <c r="D23" s="701">
        <f>VLOOKUP($K$45,B5:F16,5)</f>
        <v>0</v>
      </c>
      <c r="E23" s="683" t="s">
        <v>1071</v>
      </c>
      <c r="F23" s="1685"/>
      <c r="G23" s="1685"/>
      <c r="H23" s="1" t="s">
        <v>154</v>
      </c>
      <c r="I23" s="1"/>
      <c r="J23" s="701">
        <f>VLOOKUP($K$45,H5:Q16,10)</f>
        <v>0</v>
      </c>
      <c r="K23" s="683" t="s">
        <v>1071</v>
      </c>
      <c r="R23" s="14"/>
      <c r="X23" s="1"/>
      <c r="Y23" s="9"/>
      <c r="Z23" s="9"/>
      <c r="AA23" s="9"/>
      <c r="AB23" s="13"/>
    </row>
    <row r="24" spans="1:34" ht="16.5">
      <c r="A24" s="1"/>
      <c r="B24" s="1"/>
      <c r="C24" s="1"/>
      <c r="D24" s="1"/>
      <c r="E24" s="1"/>
      <c r="F24" s="1"/>
      <c r="G24" s="1"/>
      <c r="H24" s="1"/>
      <c r="I24" s="1"/>
      <c r="J24" s="1"/>
      <c r="K24" s="1"/>
      <c r="L24" s="1"/>
      <c r="M24" s="1"/>
      <c r="N24" s="1"/>
      <c r="O24" s="1"/>
      <c r="P24" s="1"/>
      <c r="Q24" s="1"/>
      <c r="R24" s="14"/>
    </row>
    <row r="25" spans="1:34" ht="16.5">
      <c r="A25" s="1"/>
      <c r="B25" s="558" t="s">
        <v>1196</v>
      </c>
      <c r="C25" s="1"/>
      <c r="D25" s="1"/>
      <c r="E25" s="1"/>
      <c r="F25" s="1"/>
      <c r="G25" s="1"/>
      <c r="H25" s="1"/>
      <c r="I25" s="1"/>
      <c r="J25" s="558" t="s">
        <v>1029</v>
      </c>
      <c r="K25" s="1"/>
      <c r="L25" s="910"/>
      <c r="M25" s="910"/>
      <c r="N25" s="910"/>
      <c r="O25" s="910"/>
      <c r="P25" s="910"/>
      <c r="Q25" s="910"/>
      <c r="R25" s="911"/>
      <c r="S25" s="912"/>
      <c r="T25" s="912"/>
    </row>
    <row r="26" spans="1:34" ht="16.5">
      <c r="A26" s="1"/>
      <c r="B26" s="556" t="s">
        <v>1158</v>
      </c>
      <c r="C26" s="1297" t="s">
        <v>155</v>
      </c>
      <c r="D26" s="1297" t="s">
        <v>156</v>
      </c>
      <c r="E26" s="1297" t="s">
        <v>157</v>
      </c>
      <c r="F26" s="1297" t="s">
        <v>158</v>
      </c>
      <c r="G26" s="1298"/>
      <c r="H26" s="3" t="s">
        <v>137</v>
      </c>
      <c r="I26" s="4"/>
      <c r="J26" s="2"/>
      <c r="K26" s="3" t="s">
        <v>137</v>
      </c>
      <c r="L26" s="913"/>
      <c r="M26" s="912"/>
      <c r="N26" s="910"/>
      <c r="O26" s="910"/>
      <c r="P26" s="910"/>
      <c r="Q26" s="910"/>
      <c r="R26" s="911"/>
      <c r="S26" s="912"/>
      <c r="T26" s="912"/>
    </row>
    <row r="27" spans="1:34" ht="16.5">
      <c r="A27" s="1"/>
      <c r="B27" s="442" t="s">
        <v>138</v>
      </c>
      <c r="C27" s="1253">
        <v>10</v>
      </c>
      <c r="D27" s="1253"/>
      <c r="E27" s="1253"/>
      <c r="F27" s="1253"/>
      <c r="G27" s="681"/>
      <c r="H27" s="674">
        <f t="shared" ref="H27:H39" si="4">SUM(C27:F27)</f>
        <v>10</v>
      </c>
      <c r="I27" s="441"/>
      <c r="J27" s="439" t="s">
        <v>138</v>
      </c>
      <c r="K27" s="674">
        <f>SUM(Q5,F5,H27)</f>
        <v>10</v>
      </c>
      <c r="L27" s="914" t="str">
        <f>J27</f>
        <v>１月</v>
      </c>
      <c r="M27" s="910"/>
      <c r="N27" s="910"/>
      <c r="O27" s="910"/>
      <c r="P27" s="910"/>
      <c r="Q27" s="910"/>
      <c r="R27" s="911"/>
      <c r="S27" s="912"/>
      <c r="T27" s="912"/>
    </row>
    <row r="28" spans="1:34" ht="16.5">
      <c r="A28" s="1"/>
      <c r="B28" s="3" t="s">
        <v>139</v>
      </c>
      <c r="C28" s="681"/>
      <c r="D28" s="681"/>
      <c r="E28" s="681"/>
      <c r="F28" s="681"/>
      <c r="G28" s="681"/>
      <c r="H28" s="674">
        <f t="shared" si="4"/>
        <v>0</v>
      </c>
      <c r="I28" s="441"/>
      <c r="J28" s="439" t="s">
        <v>139</v>
      </c>
      <c r="K28" s="674">
        <f t="shared" ref="K28:K38" si="5">SUM(Q6,F6,H28)</f>
        <v>0</v>
      </c>
      <c r="L28" s="914" t="str">
        <f t="shared" ref="L28:L38" si="6">J28</f>
        <v>２月</v>
      </c>
      <c r="M28" s="911"/>
      <c r="N28" s="910"/>
      <c r="O28" s="910"/>
      <c r="P28" s="910"/>
      <c r="Q28" s="910"/>
      <c r="R28" s="911"/>
      <c r="S28" s="912"/>
      <c r="T28" s="912"/>
    </row>
    <row r="29" spans="1:34" ht="16.5">
      <c r="A29" s="1"/>
      <c r="B29" s="3" t="s">
        <v>140</v>
      </c>
      <c r="C29" s="681"/>
      <c r="D29" s="681"/>
      <c r="E29" s="681"/>
      <c r="F29" s="681"/>
      <c r="G29" s="681"/>
      <c r="H29" s="674">
        <f t="shared" si="4"/>
        <v>0</v>
      </c>
      <c r="I29" s="441"/>
      <c r="J29" s="439" t="s">
        <v>140</v>
      </c>
      <c r="K29" s="674">
        <f t="shared" si="5"/>
        <v>0</v>
      </c>
      <c r="L29" s="914" t="str">
        <f>J29</f>
        <v>３月</v>
      </c>
      <c r="M29" s="911"/>
      <c r="N29" s="910"/>
      <c r="O29" s="910"/>
      <c r="P29" s="910"/>
      <c r="Q29" s="910"/>
      <c r="R29" s="911"/>
      <c r="S29" s="912"/>
      <c r="T29" s="912"/>
    </row>
    <row r="30" spans="1:34" ht="16.5">
      <c r="A30" s="1"/>
      <c r="B30" s="3" t="s">
        <v>141</v>
      </c>
      <c r="C30" s="681"/>
      <c r="D30" s="681"/>
      <c r="E30" s="681"/>
      <c r="F30" s="681"/>
      <c r="G30" s="681"/>
      <c r="H30" s="674">
        <f t="shared" si="4"/>
        <v>0</v>
      </c>
      <c r="I30" s="441"/>
      <c r="J30" s="439" t="s">
        <v>141</v>
      </c>
      <c r="K30" s="674">
        <f t="shared" si="5"/>
        <v>0</v>
      </c>
      <c r="L30" s="914" t="str">
        <f t="shared" si="6"/>
        <v>４月</v>
      </c>
      <c r="M30" s="910"/>
      <c r="N30" s="910"/>
      <c r="O30" s="910"/>
      <c r="P30" s="910"/>
      <c r="Q30" s="910"/>
      <c r="R30" s="911"/>
      <c r="S30" s="912"/>
      <c r="T30" s="912"/>
    </row>
    <row r="31" spans="1:34" ht="16.5">
      <c r="A31" s="1"/>
      <c r="B31" s="3" t="s">
        <v>142</v>
      </c>
      <c r="C31" s="681"/>
      <c r="D31" s="681"/>
      <c r="E31" s="681"/>
      <c r="F31" s="681"/>
      <c r="G31" s="681"/>
      <c r="H31" s="674">
        <f t="shared" si="4"/>
        <v>0</v>
      </c>
      <c r="I31" s="441"/>
      <c r="J31" s="439" t="s">
        <v>142</v>
      </c>
      <c r="K31" s="674">
        <f t="shared" si="5"/>
        <v>0</v>
      </c>
      <c r="L31" s="914" t="str">
        <f t="shared" si="6"/>
        <v>５月</v>
      </c>
      <c r="M31" s="910"/>
      <c r="N31" s="910"/>
      <c r="O31" s="910"/>
      <c r="P31" s="910"/>
      <c r="Q31" s="910"/>
      <c r="R31" s="911"/>
      <c r="S31" s="912"/>
      <c r="T31" s="912"/>
    </row>
    <row r="32" spans="1:34" ht="16.5">
      <c r="A32" s="1"/>
      <c r="B32" s="3" t="s">
        <v>143</v>
      </c>
      <c r="C32" s="681"/>
      <c r="D32" s="681"/>
      <c r="E32" s="681"/>
      <c r="F32" s="681"/>
      <c r="G32" s="681"/>
      <c r="H32" s="674">
        <f t="shared" si="4"/>
        <v>0</v>
      </c>
      <c r="I32" s="441"/>
      <c r="J32" s="439" t="s">
        <v>143</v>
      </c>
      <c r="K32" s="674">
        <f t="shared" si="5"/>
        <v>0</v>
      </c>
      <c r="L32" s="914" t="str">
        <f t="shared" si="6"/>
        <v>６月</v>
      </c>
      <c r="M32" s="910"/>
      <c r="N32" s="910"/>
      <c r="O32" s="910"/>
      <c r="P32" s="910"/>
      <c r="Q32" s="910"/>
      <c r="R32" s="911"/>
      <c r="S32" s="912"/>
      <c r="T32" s="912"/>
    </row>
    <row r="33" spans="1:20" ht="16.5">
      <c r="A33" s="1"/>
      <c r="B33" s="3" t="s">
        <v>144</v>
      </c>
      <c r="C33" s="681"/>
      <c r="D33" s="681"/>
      <c r="E33" s="681"/>
      <c r="F33" s="681"/>
      <c r="G33" s="681"/>
      <c r="H33" s="674">
        <f t="shared" si="4"/>
        <v>0</v>
      </c>
      <c r="I33" s="441"/>
      <c r="J33" s="439" t="s">
        <v>144</v>
      </c>
      <c r="K33" s="674">
        <f t="shared" si="5"/>
        <v>0</v>
      </c>
      <c r="L33" s="914" t="str">
        <f t="shared" si="6"/>
        <v>７月</v>
      </c>
      <c r="M33" s="910"/>
      <c r="N33" s="910"/>
      <c r="O33" s="910"/>
      <c r="P33" s="910"/>
      <c r="Q33" s="910"/>
      <c r="R33" s="911"/>
      <c r="S33" s="912"/>
      <c r="T33" s="912"/>
    </row>
    <row r="34" spans="1:20" ht="16.5">
      <c r="A34" s="1"/>
      <c r="B34" s="3" t="s">
        <v>145</v>
      </c>
      <c r="C34" s="681"/>
      <c r="D34" s="681"/>
      <c r="E34" s="681"/>
      <c r="F34" s="681"/>
      <c r="G34" s="681"/>
      <c r="H34" s="674">
        <f t="shared" si="4"/>
        <v>0</v>
      </c>
      <c r="I34" s="441"/>
      <c r="J34" s="439" t="s">
        <v>145</v>
      </c>
      <c r="K34" s="674">
        <f t="shared" si="5"/>
        <v>0</v>
      </c>
      <c r="L34" s="914" t="str">
        <f t="shared" si="6"/>
        <v>８月</v>
      </c>
      <c r="M34" s="910"/>
      <c r="N34" s="910"/>
      <c r="O34" s="910"/>
      <c r="P34" s="910"/>
      <c r="Q34" s="910"/>
      <c r="R34" s="911"/>
      <c r="S34" s="912"/>
      <c r="T34" s="912"/>
    </row>
    <row r="35" spans="1:20" ht="16.5">
      <c r="A35" s="1"/>
      <c r="B35" s="3" t="s">
        <v>146</v>
      </c>
      <c r="C35" s="681"/>
      <c r="D35" s="681"/>
      <c r="E35" s="681"/>
      <c r="F35" s="681"/>
      <c r="G35" s="681"/>
      <c r="H35" s="674">
        <f t="shared" si="4"/>
        <v>0</v>
      </c>
      <c r="I35" s="441"/>
      <c r="J35" s="439" t="s">
        <v>146</v>
      </c>
      <c r="K35" s="674">
        <f t="shared" si="5"/>
        <v>0</v>
      </c>
      <c r="L35" s="914" t="str">
        <f t="shared" si="6"/>
        <v>９月</v>
      </c>
      <c r="M35" s="910"/>
      <c r="N35" s="910"/>
      <c r="O35" s="910"/>
      <c r="P35" s="910"/>
      <c r="Q35" s="910"/>
      <c r="R35" s="911"/>
      <c r="S35" s="912"/>
      <c r="T35" s="912"/>
    </row>
    <row r="36" spans="1:20" ht="16.5">
      <c r="A36" s="1"/>
      <c r="B36" s="3" t="s">
        <v>147</v>
      </c>
      <c r="C36" s="681"/>
      <c r="D36" s="681"/>
      <c r="E36" s="681"/>
      <c r="F36" s="681"/>
      <c r="G36" s="681"/>
      <c r="H36" s="674">
        <f t="shared" si="4"/>
        <v>0</v>
      </c>
      <c r="I36" s="441"/>
      <c r="J36" s="439" t="s">
        <v>147</v>
      </c>
      <c r="K36" s="674">
        <f t="shared" si="5"/>
        <v>0</v>
      </c>
      <c r="L36" s="914" t="str">
        <f t="shared" si="6"/>
        <v>10月</v>
      </c>
      <c r="M36" s="910"/>
      <c r="N36" s="910"/>
      <c r="O36" s="910"/>
      <c r="P36" s="910"/>
      <c r="Q36" s="910"/>
      <c r="R36" s="911"/>
      <c r="S36" s="912"/>
      <c r="T36" s="912"/>
    </row>
    <row r="37" spans="1:20" ht="16.5">
      <c r="A37" s="1"/>
      <c r="B37" s="3" t="s">
        <v>148</v>
      </c>
      <c r="C37" s="681"/>
      <c r="D37" s="681"/>
      <c r="E37" s="681"/>
      <c r="F37" s="681"/>
      <c r="G37" s="681"/>
      <c r="H37" s="674">
        <f t="shared" si="4"/>
        <v>0</v>
      </c>
      <c r="I37" s="441"/>
      <c r="J37" s="439" t="s">
        <v>148</v>
      </c>
      <c r="K37" s="674">
        <f t="shared" si="5"/>
        <v>0</v>
      </c>
      <c r="L37" s="914" t="str">
        <f>J37</f>
        <v>11月</v>
      </c>
      <c r="M37" s="910"/>
      <c r="N37" s="910"/>
      <c r="O37" s="910"/>
      <c r="P37" s="910"/>
      <c r="Q37" s="910"/>
      <c r="R37" s="911"/>
      <c r="S37" s="912"/>
      <c r="T37" s="912"/>
    </row>
    <row r="38" spans="1:20" ht="16.5">
      <c r="A38" s="1"/>
      <c r="B38" s="3" t="s">
        <v>149</v>
      </c>
      <c r="C38" s="681"/>
      <c r="D38" s="681"/>
      <c r="E38" s="681"/>
      <c r="F38" s="681"/>
      <c r="G38" s="681"/>
      <c r="H38" s="674">
        <f t="shared" si="4"/>
        <v>0</v>
      </c>
      <c r="I38" s="441"/>
      <c r="J38" s="439" t="s">
        <v>149</v>
      </c>
      <c r="K38" s="674">
        <f t="shared" si="5"/>
        <v>0</v>
      </c>
      <c r="L38" s="914" t="str">
        <f t="shared" si="6"/>
        <v>12月</v>
      </c>
      <c r="M38" s="910"/>
      <c r="N38" s="910"/>
      <c r="O38" s="910"/>
      <c r="P38" s="910"/>
      <c r="Q38" s="910"/>
      <c r="R38" s="911"/>
      <c r="S38" s="912"/>
      <c r="T38" s="912"/>
    </row>
    <row r="39" spans="1:20" ht="16.5">
      <c r="A39" s="1"/>
      <c r="B39" s="3" t="s">
        <v>150</v>
      </c>
      <c r="C39" s="674">
        <f>IF(SUM(C27:C38)=0,"",SUM(C27:C38))</f>
        <v>10</v>
      </c>
      <c r="D39" s="674" t="str">
        <f>IF(SUM(D27:D38)=0,"",SUM(D27:D38))</f>
        <v/>
      </c>
      <c r="E39" s="674" t="str">
        <f>IF(SUM(E27:E38)=0,"",SUM(E27:E38))</f>
        <v/>
      </c>
      <c r="F39" s="674" t="str">
        <f>IF(SUM(F27:F38)=0,"",SUM(F27:F38))</f>
        <v/>
      </c>
      <c r="G39" s="674" t="str">
        <f>IF(SUM(G27:G38)=0,"",SUM(G27:G38))</f>
        <v/>
      </c>
      <c r="H39" s="674">
        <f t="shared" si="4"/>
        <v>10</v>
      </c>
      <c r="I39" s="441"/>
      <c r="J39" s="439" t="s">
        <v>150</v>
      </c>
      <c r="K39" s="674">
        <f>SUM(Q17,F17,H39)</f>
        <v>10</v>
      </c>
      <c r="L39" s="913"/>
      <c r="M39" s="910"/>
      <c r="N39" s="910"/>
      <c r="O39" s="910"/>
      <c r="P39" s="910"/>
      <c r="Q39" s="910"/>
      <c r="R39" s="911"/>
      <c r="S39" s="912"/>
      <c r="T39" s="912"/>
    </row>
    <row r="40" spans="1:20" ht="16.5">
      <c r="A40" s="1"/>
      <c r="B40" s="703" t="s">
        <v>861</v>
      </c>
      <c r="C40" s="681"/>
      <c r="D40" s="681"/>
      <c r="E40" s="681"/>
      <c r="F40" s="681"/>
      <c r="G40" s="681"/>
      <c r="H40" s="675" t="s">
        <v>1032</v>
      </c>
      <c r="I40" s="441"/>
      <c r="J40" s="440" t="s">
        <v>151</v>
      </c>
      <c r="K40" s="971">
        <f>Q19+F19+H41</f>
        <v>0</v>
      </c>
      <c r="L40" s="915"/>
      <c r="M40" s="910"/>
      <c r="N40" s="910"/>
      <c r="O40" s="910"/>
      <c r="P40" s="910"/>
      <c r="Q40" s="910"/>
      <c r="R40" s="911"/>
      <c r="S40" s="912"/>
      <c r="T40" s="912"/>
    </row>
    <row r="41" spans="1:20" ht="16.5">
      <c r="A41" s="1"/>
      <c r="B41" s="703" t="s">
        <v>151</v>
      </c>
      <c r="C41" s="938" t="str">
        <f>IF(C40="","",C40*C43)</f>
        <v/>
      </c>
      <c r="D41" s="674" t="str">
        <f>IF(D40="","",D40*D43)</f>
        <v/>
      </c>
      <c r="E41" s="674" t="str">
        <f>IF(E40="","",E40*E43)</f>
        <v/>
      </c>
      <c r="F41" s="674" t="str">
        <f>IF(F40="","",F40*F43)</f>
        <v/>
      </c>
      <c r="G41" s="674" t="str">
        <f>IF(G40="","",G40*G43)</f>
        <v/>
      </c>
      <c r="H41" s="674">
        <f>SUM(C41:G41)</f>
        <v>0</v>
      </c>
      <c r="I41" s="441"/>
      <c r="J41" s="440" t="s">
        <v>159</v>
      </c>
      <c r="K41" s="677">
        <f>J21+D21+H42</f>
        <v>0</v>
      </c>
      <c r="L41" s="1267"/>
      <c r="M41" s="910"/>
      <c r="N41" s="910"/>
      <c r="O41" s="910"/>
      <c r="P41" s="910"/>
      <c r="Q41" s="910"/>
      <c r="R41" s="911"/>
      <c r="S41" s="912"/>
      <c r="T41" s="912"/>
    </row>
    <row r="42" spans="1:20" ht="16.5">
      <c r="A42" s="1"/>
      <c r="B42" s="703" t="s">
        <v>159</v>
      </c>
      <c r="C42" s="1254"/>
      <c r="D42" s="681"/>
      <c r="E42" s="681"/>
      <c r="F42" s="681"/>
      <c r="G42" s="681"/>
      <c r="H42" s="676">
        <f>SUM(C42:G42)</f>
        <v>0</v>
      </c>
      <c r="I42" s="441"/>
      <c r="J42" s="688" t="s">
        <v>1031</v>
      </c>
      <c r="K42" s="677">
        <f>J22+D22+H43</f>
        <v>0</v>
      </c>
      <c r="L42" s="1267"/>
      <c r="M42" s="1268"/>
      <c r="N42" s="1268"/>
      <c r="O42" s="1268"/>
      <c r="P42" s="1268"/>
      <c r="Q42" s="1268"/>
      <c r="R42" s="1268"/>
      <c r="S42" s="1268"/>
      <c r="T42" s="1268"/>
    </row>
    <row r="43" spans="1:20" ht="16.5">
      <c r="A43" s="1"/>
      <c r="B43" s="702" t="s">
        <v>1031</v>
      </c>
      <c r="C43" s="1255"/>
      <c r="D43" s="1255"/>
      <c r="E43" s="1255"/>
      <c r="F43" s="1255"/>
      <c r="G43" s="1255"/>
      <c r="H43" s="677">
        <f>SUM(C43:G43)</f>
        <v>0</v>
      </c>
      <c r="I43" s="1"/>
      <c r="J43" s="691" t="s">
        <v>1067</v>
      </c>
      <c r="K43" s="692" t="e">
        <f>ROUND(K39/K42,1)</f>
        <v>#DIV/0!</v>
      </c>
      <c r="L43" s="1686"/>
      <c r="M43" s="1687"/>
      <c r="N43" s="1687"/>
      <c r="O43" s="1687"/>
      <c r="P43" s="1687"/>
      <c r="Q43" s="1687"/>
      <c r="R43" s="1687"/>
      <c r="S43" s="1687"/>
      <c r="T43" s="1687"/>
    </row>
    <row r="44" spans="1:20" ht="16.5">
      <c r="A44" s="1"/>
      <c r="B44" s="1" t="s">
        <v>153</v>
      </c>
      <c r="C44" s="1"/>
      <c r="D44" s="705">
        <f>H43</f>
        <v>0</v>
      </c>
      <c r="E44" s="683" t="s">
        <v>1070</v>
      </c>
      <c r="F44" s="910"/>
      <c r="G44" s="1"/>
      <c r="H44" s="1"/>
      <c r="I44" s="1"/>
      <c r="J44" s="14"/>
      <c r="K44" s="678"/>
      <c r="L44" s="1"/>
      <c r="M44" s="1"/>
      <c r="N44" s="1"/>
      <c r="O44" s="1"/>
      <c r="P44" s="1"/>
      <c r="Q44" s="1"/>
      <c r="R44" s="14"/>
    </row>
    <row r="45" spans="1:20" ht="16.5">
      <c r="A45" s="1"/>
      <c r="B45" s="1" t="s">
        <v>154</v>
      </c>
      <c r="C45" s="1"/>
      <c r="D45" s="684">
        <f>VLOOKUP($K$45,B27:H38,7)</f>
        <v>10</v>
      </c>
      <c r="E45" s="683" t="s">
        <v>1071</v>
      </c>
      <c r="F45" s="1"/>
      <c r="G45" s="1"/>
      <c r="H45" s="1"/>
      <c r="I45" s="1"/>
      <c r="J45" s="1" t="s">
        <v>160</v>
      </c>
      <c r="K45" s="556" t="str">
        <f>VLOOKUP(MAX(K27:K38),K27:L38,2,FALSE)</f>
        <v>１月</v>
      </c>
      <c r="L45" s="704">
        <f>MAX(K27:K38)</f>
        <v>10</v>
      </c>
      <c r="M45" s="1" t="s">
        <v>1034</v>
      </c>
      <c r="N45" s="1"/>
      <c r="O45" s="1"/>
      <c r="P45" s="1"/>
      <c r="Q45" s="1"/>
      <c r="R45" s="14"/>
    </row>
    <row r="46" spans="1:20" ht="16.5">
      <c r="A46" s="1"/>
      <c r="B46" s="1"/>
      <c r="C46" s="693" t="s">
        <v>1067</v>
      </c>
      <c r="D46" s="443" t="e">
        <f>ROUND(H39/H43,1)</f>
        <v>#DIV/0!</v>
      </c>
      <c r="E46" s="683" t="s">
        <v>1072</v>
      </c>
      <c r="F46" s="1"/>
      <c r="G46" s="1"/>
      <c r="H46" s="1"/>
      <c r="I46" s="1"/>
      <c r="J46" s="1"/>
      <c r="K46" s="1"/>
      <c r="L46" s="1"/>
      <c r="M46" s="1"/>
      <c r="N46" s="1"/>
      <c r="O46" s="1"/>
      <c r="P46" s="1"/>
      <c r="Q46" s="1"/>
      <c r="R46" s="14"/>
    </row>
    <row r="47" spans="1:20" ht="16.5">
      <c r="A47" s="1"/>
      <c r="B47" s="1266" t="str">
        <f>IF(基本入力!G20&gt;0,"",(IF(SUM(基本入力!C13:C16,基本入力!C56,基本入力!C57)&lt;&gt;販売量ﾃﾞｰﾀ!K41,"※需要家数(K41)が供給地点数と一致するようC42～G42を見直してください。","")))</f>
        <v/>
      </c>
      <c r="C47" s="1"/>
      <c r="D47" s="1"/>
      <c r="E47" s="1"/>
      <c r="F47" s="1"/>
      <c r="G47" s="1"/>
      <c r="H47" s="1"/>
      <c r="I47" s="1"/>
      <c r="J47" s="1"/>
      <c r="K47" s="1"/>
      <c r="L47" s="1"/>
      <c r="M47" s="1"/>
      <c r="N47" s="1"/>
      <c r="O47" s="1"/>
      <c r="P47" s="1"/>
      <c r="Q47" s="1"/>
      <c r="R47" s="14"/>
    </row>
    <row r="48" spans="1:20" ht="16.5">
      <c r="A48" s="1"/>
      <c r="B48" s="1266" t="str">
        <f>IF(OR(K42-K41*12=0,B47="※需要家数(K41)が供給地点数と一致するようC42～G42を見直してください。"),"","※延需要家数(K42)が需要家数(K41)×12ヶ月となるようC43～G43を見直してください。")</f>
        <v/>
      </c>
      <c r="C48" s="1"/>
      <c r="D48" s="1"/>
      <c r="E48" s="1"/>
      <c r="F48" s="1"/>
      <c r="G48" s="1"/>
      <c r="H48" s="1"/>
      <c r="I48" s="1"/>
      <c r="J48" s="1"/>
      <c r="K48" s="1"/>
      <c r="L48" s="1"/>
      <c r="M48" s="1"/>
      <c r="N48" s="1"/>
      <c r="O48" s="1"/>
      <c r="P48" s="1"/>
      <c r="Q48" s="1"/>
      <c r="R48" s="14"/>
    </row>
    <row r="49" spans="1:18" ht="16.5">
      <c r="A49" s="1"/>
      <c r="B49" s="1"/>
      <c r="C49" s="1"/>
      <c r="D49" s="1"/>
      <c r="E49" s="1"/>
      <c r="F49" s="1"/>
      <c r="G49" s="1"/>
      <c r="H49" s="1"/>
      <c r="I49" s="1"/>
      <c r="J49" s="1"/>
      <c r="K49" s="1"/>
      <c r="L49" s="1"/>
      <c r="M49" s="1"/>
      <c r="N49" s="1"/>
      <c r="O49" s="1"/>
      <c r="P49" s="1"/>
      <c r="Q49" s="1"/>
      <c r="R49" s="14"/>
    </row>
    <row r="50" spans="1:18" ht="16.5">
      <c r="A50" s="1"/>
      <c r="B50" s="1"/>
      <c r="C50" s="1"/>
      <c r="D50" s="1"/>
      <c r="E50" s="1"/>
      <c r="F50" s="1"/>
      <c r="G50" s="1"/>
      <c r="H50" s="1"/>
      <c r="I50" s="1"/>
      <c r="M50" s="1"/>
      <c r="N50" s="1"/>
      <c r="O50" s="1"/>
      <c r="P50" s="1"/>
      <c r="Q50" s="1"/>
      <c r="R50" s="14"/>
    </row>
  </sheetData>
  <sheetProtection formatCells="0" formatColumns="0" formatRows="0"/>
  <mergeCells count="3">
    <mergeCell ref="F21:G21"/>
    <mergeCell ref="F23:G23"/>
    <mergeCell ref="L43:T43"/>
  </mergeCells>
  <phoneticPr fontId="2"/>
  <dataValidations xWindow="28" yWindow="135" count="13">
    <dataValidation allowBlank="1" showInputMessage="1" showErrorMessage="1" promptTitle="入力" prompt="対象需要家の平均メーター能力（㎥/H）" sqref="C18" xr:uid="{00000000-0002-0000-0200-000000000000}"/>
    <dataValidation allowBlank="1" showInputMessage="1" showErrorMessage="1" promptTitle="入力" prompt="割引料金を適用する月数" sqref="C20" xr:uid="{00000000-0002-0000-0200-000001000000}"/>
    <dataValidation allowBlank="1" showInputMessage="1" showErrorMessage="1" promptTitle="入力" prompt="（各種選択約款毎の需要家数×各割引料金を適用する月数）の合計" sqref="D22" xr:uid="{00000000-0002-0000-0200-000002000000}"/>
    <dataValidation allowBlank="1" showInputMessage="1" showErrorMessage="1" promptTitle="入力" prompt="各選択約款の申請時点での需要家数の合計（単月値）" sqref="D21" xr:uid="{00000000-0002-0000-0200-000003000000}"/>
    <dataValidation allowBlank="1" showInputMessage="1" showErrorMessage="1" promptTitle="入力" prompt="各月の需要家数を１２ヶ月分合計した数値" sqref="C43" xr:uid="{00000000-0002-0000-0200-000004000000}"/>
    <dataValidation allowBlank="1" showInputMessage="1" showErrorMessage="1" error="許可戸数を超えています" promptTitle="入力" prompt="申請時点で想定した需要家数（単月値）" sqref="C42" xr:uid="{00000000-0002-0000-0200-000005000000}"/>
    <dataValidation allowBlank="1" showInputMessage="1" showErrorMessage="1" promptTitle="入力" prompt="当該需要家の月間販売量" sqref="I5" xr:uid="{00000000-0002-0000-0200-000006000000}"/>
    <dataValidation allowBlank="1" showInputMessage="1" showErrorMessage="1" promptTitle="入力" prompt="対象需要家のメーター能力（㎥/H）" sqref="I18" xr:uid="{00000000-0002-0000-0200-000007000000}"/>
    <dataValidation allowBlank="1" showInputMessage="1" showErrorMessage="1" promptTitle="入力" prompt="選択約款名" sqref="C4" xr:uid="{00000000-0002-0000-0200-000008000000}"/>
    <dataValidation allowBlank="1" showInputMessage="1" showErrorMessage="1" promptTitle="入力" prompt="需要家名" sqref="I4" xr:uid="{00000000-0002-0000-0200-000009000000}"/>
    <dataValidation allowBlank="1" showInputMessage="1" showErrorMessage="1" promptTitle="入力" prompt="当該選択約款の割引料金適用月の月間合計販売量" sqref="C5" xr:uid="{00000000-0002-0000-0200-00000A000000}"/>
    <dataValidation allowBlank="1" showInputMessage="1" showErrorMessage="1" promptTitle="入力" prompt="選択約款・特定ガス大口契約を除いた月間合計販売量" sqref="C27" xr:uid="{00000000-0002-0000-0200-00000B000000}"/>
    <dataValidation allowBlank="1" showInputMessage="1" showErrorMessage="1" errorTitle="1件当たりのメーター能力を入力してください" promptTitle="入力" prompt="対象需要家の平均メーター能力（㎥/H）" sqref="C40" xr:uid="{00000000-0002-0000-0200-00000C000000}"/>
  </dataValidations>
  <pageMargins left="0.98263888888888884" right="0.58958333333333335" top="0.78541666666666665" bottom="0.78541666666666665" header="0.51200000000000001" footer="0.51200000000000001"/>
  <pageSetup paperSize="9" scale="61" orientation="landscape" horizontalDpi="200" verticalDpi="200" r:id="rId1"/>
  <headerFooter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indexed="62"/>
    <pageSetUpPr autoPageBreaks="0" fitToPage="1"/>
  </sheetPr>
  <dimension ref="A1:K51"/>
  <sheetViews>
    <sheetView showGridLines="0" zoomScaleNormal="100" workbookViewId="0"/>
  </sheetViews>
  <sheetFormatPr defaultColWidth="9" defaultRowHeight="14"/>
  <cols>
    <col min="1" max="1" width="4.08203125" style="184" customWidth="1"/>
    <col min="2" max="4" width="9" style="184"/>
    <col min="5" max="5" width="8.08203125" style="184" customWidth="1"/>
    <col min="6" max="6" width="6.25" style="184" customWidth="1"/>
    <col min="7" max="7" width="9" style="184"/>
    <col min="8" max="8" width="6.58203125" style="184" customWidth="1"/>
    <col min="9" max="10" width="9" style="184"/>
    <col min="11" max="11" width="5" style="184" customWidth="1"/>
    <col min="12" max="16384" width="9" style="184"/>
  </cols>
  <sheetData>
    <row r="1" spans="1:11">
      <c r="A1" s="183" t="s">
        <v>1207</v>
      </c>
    </row>
    <row r="2" spans="1:11" s="186" customFormat="1">
      <c r="A2" s="184"/>
      <c r="B2" s="185"/>
    </row>
    <row r="3" spans="1:11" s="186" customFormat="1"/>
    <row r="4" spans="1:11" s="186" customFormat="1"/>
    <row r="5" spans="1:11" s="189" customFormat="1" ht="23.5">
      <c r="A5" s="220" t="s">
        <v>1206</v>
      </c>
      <c r="B5" s="187"/>
      <c r="C5" s="187"/>
      <c r="D5" s="187"/>
      <c r="E5" s="188"/>
      <c r="F5" s="188"/>
      <c r="G5" s="188"/>
      <c r="H5" s="188"/>
      <c r="I5" s="188"/>
      <c r="J5" s="188"/>
      <c r="K5" s="188"/>
    </row>
    <row r="6" spans="1:11" s="189" customFormat="1"/>
    <row r="7" spans="1:11" s="189" customFormat="1">
      <c r="I7" s="1690">
        <f>基本入力!C1</f>
        <v>43594</v>
      </c>
      <c r="J7" s="1690"/>
      <c r="K7" s="1690"/>
    </row>
    <row r="8" spans="1:11" s="189" customFormat="1">
      <c r="B8" s="999" t="str">
        <f>基本入力!J6</f>
        <v>関東経済産業局</v>
      </c>
      <c r="C8" s="999"/>
      <c r="E8" s="301" t="s">
        <v>1159</v>
      </c>
    </row>
    <row r="9" spans="1:11" s="189" customFormat="1"/>
    <row r="10" spans="1:11" s="189" customFormat="1"/>
    <row r="11" spans="1:11" s="189" customFormat="1">
      <c r="F11" s="189" t="s">
        <v>654</v>
      </c>
      <c r="G11" s="1691" t="str">
        <f>基本入力!J2</f>
        <v>東京都港区西新橋1-2-9</v>
      </c>
      <c r="H11" s="1691"/>
      <c r="I11" s="1691"/>
      <c r="J11" s="1691"/>
      <c r="K11" s="1691"/>
    </row>
    <row r="12" spans="1:11" s="189" customFormat="1"/>
    <row r="13" spans="1:11" s="189" customFormat="1">
      <c r="F13" s="189" t="s">
        <v>655</v>
      </c>
      <c r="G13" s="1691" t="str">
        <f>基本入力!C2</f>
        <v>コミュニティーガス（株）</v>
      </c>
      <c r="H13" s="1691"/>
      <c r="I13" s="1691"/>
      <c r="J13" s="1691"/>
      <c r="K13" s="1691"/>
    </row>
    <row r="14" spans="1:11" s="191" customFormat="1">
      <c r="A14" s="189"/>
      <c r="B14" s="189"/>
      <c r="C14" s="189"/>
      <c r="D14" s="189"/>
      <c r="E14" s="189"/>
      <c r="F14" s="189"/>
      <c r="G14" s="1691" t="str">
        <f>基本入力!C3</f>
        <v>代表取締役</v>
      </c>
      <c r="H14" s="1691"/>
      <c r="I14" s="1693" t="str">
        <f>基本入力!J3</f>
        <v>簡易太郎</v>
      </c>
      <c r="J14" s="1693"/>
      <c r="K14" s="190" t="s">
        <v>656</v>
      </c>
    </row>
    <row r="15" spans="1:11" s="191" customFormat="1"/>
    <row r="16" spans="1:11" s="191" customFormat="1"/>
    <row r="17" spans="1:11" s="191" customFormat="1"/>
    <row r="18" spans="1:11" s="191" customFormat="1"/>
    <row r="19" spans="1:11" s="191" customFormat="1">
      <c r="F19" s="1529" t="s">
        <v>1208</v>
      </c>
    </row>
    <row r="20" spans="1:11" s="191" customFormat="1"/>
    <row r="21" spans="1:11" s="191" customFormat="1">
      <c r="F21" s="1692" t="str">
        <f>基本入力!C4</f>
        <v>コミュニティー団地</v>
      </c>
      <c r="G21" s="1692"/>
      <c r="H21" s="1692"/>
      <c r="I21" s="1692"/>
      <c r="J21" s="1694">
        <f>基本入力!C59</f>
        <v>245</v>
      </c>
      <c r="K21" s="1694"/>
    </row>
    <row r="22" spans="1:11" s="191" customFormat="1"/>
    <row r="23" spans="1:11" s="191" customFormat="1">
      <c r="F23" s="1692" t="str">
        <f>基本入力!J4</f>
        <v>東京都中央区日本橋</v>
      </c>
      <c r="G23" s="1692"/>
      <c r="H23" s="1692"/>
      <c r="I23" s="1692"/>
      <c r="J23" s="1692"/>
      <c r="K23" s="1692"/>
    </row>
    <row r="24" spans="1:11" s="191" customFormat="1"/>
    <row r="25" spans="1:11" s="191" customFormat="1"/>
    <row r="26" spans="1:11" s="191" customFormat="1"/>
    <row r="27" spans="1:11" s="191" customFormat="1"/>
    <row r="28" spans="1:11" s="191" customFormat="1" ht="30" customHeight="1">
      <c r="A28" s="1688" t="s">
        <v>1213</v>
      </c>
      <c r="B28" s="1689"/>
      <c r="C28" s="1689"/>
      <c r="D28" s="1689"/>
      <c r="E28" s="1689"/>
      <c r="F28" s="1689"/>
      <c r="G28" s="1689"/>
      <c r="H28" s="1689"/>
      <c r="I28" s="1689"/>
      <c r="J28" s="1689"/>
      <c r="K28" s="1689"/>
    </row>
    <row r="29" spans="1:11" s="191" customFormat="1"/>
    <row r="30" spans="1:11" s="191" customFormat="1"/>
    <row r="31" spans="1:11" s="191" customFormat="1"/>
    <row r="32" spans="1:11" s="191" customFormat="1"/>
    <row r="33" s="191" customFormat="1"/>
    <row r="34" s="191" customFormat="1"/>
    <row r="35" s="191" customFormat="1"/>
    <row r="36" s="191" customFormat="1"/>
    <row r="37" s="191" customFormat="1"/>
    <row r="38" s="191" customFormat="1"/>
    <row r="39" s="191" customFormat="1"/>
    <row r="40" s="191" customFormat="1"/>
    <row r="41" s="191" customFormat="1"/>
    <row r="42" s="191" customFormat="1"/>
    <row r="43" s="191" customFormat="1"/>
    <row r="44" s="191" customFormat="1"/>
    <row r="45" s="191" customFormat="1"/>
    <row r="46" s="191" customFormat="1"/>
    <row r="47" s="191" customFormat="1"/>
    <row r="48" s="191" customFormat="1"/>
    <row r="49" spans="1:1">
      <c r="A49" s="192" t="s">
        <v>659</v>
      </c>
    </row>
    <row r="50" spans="1:1">
      <c r="A50" s="192" t="s">
        <v>657</v>
      </c>
    </row>
    <row r="51" spans="1:1">
      <c r="A51" s="192" t="s">
        <v>658</v>
      </c>
    </row>
  </sheetData>
  <sheetProtection sheet="1"/>
  <mergeCells count="9">
    <mergeCell ref="A28:K28"/>
    <mergeCell ref="I7:K7"/>
    <mergeCell ref="G11:K11"/>
    <mergeCell ref="F23:K23"/>
    <mergeCell ref="F21:I21"/>
    <mergeCell ref="G13:K13"/>
    <mergeCell ref="G14:H14"/>
    <mergeCell ref="I14:J14"/>
    <mergeCell ref="J21:K21"/>
  </mergeCells>
  <phoneticPr fontId="22"/>
  <pageMargins left="0.59" right="0.39" top="1" bottom="1" header="0.51200000000000001" footer="0.51200000000000001"/>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indexed="62"/>
    <pageSetUpPr autoPageBreaks="0" fitToPage="1"/>
  </sheetPr>
  <dimension ref="A1:L65"/>
  <sheetViews>
    <sheetView showGridLines="0" zoomScaleNormal="100" workbookViewId="0"/>
  </sheetViews>
  <sheetFormatPr defaultColWidth="9" defaultRowHeight="14"/>
  <cols>
    <col min="1" max="1" width="4.08203125" style="301" customWidth="1"/>
    <col min="2" max="4" width="9" style="301"/>
    <col min="5" max="5" width="8.08203125" style="301" customWidth="1"/>
    <col min="6" max="6" width="6.25" style="301" customWidth="1"/>
    <col min="7" max="7" width="9" style="301"/>
    <col min="8" max="8" width="6.58203125" style="301" customWidth="1"/>
    <col min="9" max="10" width="9" style="301"/>
    <col min="11" max="11" width="5" style="301" customWidth="1"/>
    <col min="12" max="16384" width="9" style="301"/>
  </cols>
  <sheetData>
    <row r="1" spans="1:12">
      <c r="A1" s="183" t="s">
        <v>1231</v>
      </c>
    </row>
    <row r="2" spans="1:12">
      <c r="B2" s="185"/>
    </row>
    <row r="5" spans="1:12" ht="23.5">
      <c r="A5" s="220" t="s">
        <v>1204</v>
      </c>
      <c r="B5" s="187"/>
      <c r="C5" s="187"/>
      <c r="D5" s="187"/>
      <c r="E5" s="545"/>
      <c r="F5" s="545"/>
      <c r="G5" s="545"/>
      <c r="H5" s="545"/>
      <c r="I5" s="545"/>
      <c r="J5" s="545"/>
      <c r="K5" s="545"/>
      <c r="L5" s="958" t="s">
        <v>5</v>
      </c>
    </row>
    <row r="7" spans="1:12">
      <c r="I7" s="1699">
        <f>基本入力!C1</f>
        <v>43594</v>
      </c>
      <c r="J7" s="1699"/>
      <c r="K7" s="1699"/>
    </row>
    <row r="8" spans="1:12">
      <c r="B8" s="999" t="str">
        <f>基本入力!J6</f>
        <v>関東経済産業局</v>
      </c>
      <c r="C8" s="999"/>
      <c r="D8" s="999"/>
      <c r="E8" s="301" t="s">
        <v>1159</v>
      </c>
    </row>
    <row r="11" spans="1:12">
      <c r="F11" s="301" t="s">
        <v>654</v>
      </c>
      <c r="G11" s="1697" t="str">
        <f>基本入力!J2</f>
        <v>東京都港区西新橋1-2-9</v>
      </c>
      <c r="H11" s="1697"/>
      <c r="I11" s="1697"/>
      <c r="J11" s="1697"/>
      <c r="K11" s="1697"/>
    </row>
    <row r="13" spans="1:12">
      <c r="F13" s="301" t="s">
        <v>655</v>
      </c>
      <c r="G13" s="1697" t="str">
        <f>基本入力!C2</f>
        <v>コミュニティーガス（株）</v>
      </c>
      <c r="H13" s="1697"/>
      <c r="I13" s="1697"/>
      <c r="J13" s="1697"/>
      <c r="K13" s="1697"/>
    </row>
    <row r="14" spans="1:12">
      <c r="G14" s="1697" t="str">
        <f>基本入力!C3</f>
        <v>代表取締役</v>
      </c>
      <c r="H14" s="1697"/>
      <c r="I14" s="1698" t="str">
        <f>基本入力!J3</f>
        <v>簡易太郎</v>
      </c>
      <c r="J14" s="1698"/>
      <c r="K14" s="1530" t="s">
        <v>656</v>
      </c>
    </row>
    <row r="19" spans="1:12">
      <c r="F19" s="1529" t="s">
        <v>1205</v>
      </c>
    </row>
    <row r="21" spans="1:12">
      <c r="F21" s="1697" t="str">
        <f>基本入力!C4</f>
        <v>コミュニティー団地</v>
      </c>
      <c r="G21" s="1697"/>
      <c r="H21" s="1697"/>
      <c r="I21" s="1697"/>
      <c r="J21" s="1700">
        <f>基本入力!C59</f>
        <v>245</v>
      </c>
      <c r="K21" s="1700"/>
    </row>
    <row r="23" spans="1:12">
      <c r="F23" s="1697" t="str">
        <f>基本入力!J4</f>
        <v>東京都中央区日本橋</v>
      </c>
      <c r="G23" s="1697"/>
      <c r="H23" s="1697"/>
      <c r="I23" s="1697"/>
      <c r="J23" s="1697"/>
      <c r="K23" s="1697"/>
    </row>
    <row r="26" spans="1:12">
      <c r="A26" s="1695" t="s">
        <v>1214</v>
      </c>
      <c r="B26" s="1696"/>
      <c r="C26" s="1696"/>
      <c r="D26" s="1696"/>
      <c r="E26" s="1696"/>
      <c r="F26" s="1696"/>
      <c r="G26" s="1696"/>
      <c r="H26" s="1696"/>
      <c r="I26" s="1696"/>
      <c r="J26" s="1696"/>
      <c r="K26" s="1696"/>
    </row>
    <row r="27" spans="1:12">
      <c r="A27" s="1696"/>
      <c r="B27" s="1696"/>
      <c r="C27" s="1696"/>
      <c r="D27" s="1696"/>
      <c r="E27" s="1696"/>
      <c r="F27" s="1696"/>
      <c r="G27" s="1696"/>
      <c r="H27" s="1696"/>
      <c r="I27" s="1696"/>
      <c r="J27" s="1696"/>
      <c r="K27" s="1696"/>
    </row>
    <row r="28" spans="1:12" ht="30" customHeight="1">
      <c r="A28" s="1696"/>
      <c r="B28" s="1696"/>
      <c r="C28" s="1696"/>
      <c r="D28" s="1696"/>
      <c r="E28" s="1696"/>
      <c r="F28" s="1696"/>
      <c r="G28" s="1696"/>
      <c r="H28" s="1696"/>
      <c r="I28" s="1696"/>
      <c r="J28" s="1696"/>
      <c r="K28" s="1696"/>
    </row>
    <row r="29" spans="1:12">
      <c r="A29" s="301" t="s">
        <v>1167</v>
      </c>
    </row>
    <row r="31" spans="1:12">
      <c r="B31" s="1703" t="s">
        <v>1226</v>
      </c>
      <c r="C31" s="1704"/>
      <c r="D31" s="1708" t="s">
        <v>1140</v>
      </c>
      <c r="E31" s="1709"/>
      <c r="F31" s="1709"/>
      <c r="G31" s="1709"/>
      <c r="H31" s="1709"/>
      <c r="I31" s="1709"/>
      <c r="J31" s="1710"/>
      <c r="K31" s="550"/>
      <c r="L31" s="549"/>
    </row>
    <row r="32" spans="1:12">
      <c r="B32" s="1705"/>
      <c r="C32" s="1706"/>
      <c r="D32" s="1711"/>
      <c r="E32" s="1712"/>
      <c r="F32" s="1712"/>
      <c r="G32" s="1712"/>
      <c r="H32" s="1712"/>
      <c r="I32" s="1712"/>
      <c r="J32" s="1713"/>
      <c r="K32" s="550"/>
      <c r="L32" s="549"/>
    </row>
    <row r="33" spans="1:12">
      <c r="B33" s="1707" t="s">
        <v>1005</v>
      </c>
      <c r="C33" s="1704"/>
      <c r="D33" s="1714">
        <f>基本入力!J1</f>
        <v>43595</v>
      </c>
      <c r="E33" s="1715"/>
      <c r="F33" s="1715"/>
      <c r="G33" s="1715"/>
      <c r="H33" s="1715"/>
      <c r="I33" s="1715"/>
      <c r="J33" s="1716"/>
      <c r="K33" s="550"/>
      <c r="L33" s="549"/>
    </row>
    <row r="34" spans="1:12">
      <c r="A34" s="548"/>
      <c r="B34" s="1705"/>
      <c r="C34" s="1706"/>
      <c r="D34" s="1717"/>
      <c r="E34" s="1718"/>
      <c r="F34" s="1718"/>
      <c r="G34" s="1718"/>
      <c r="H34" s="1718"/>
      <c r="I34" s="1718"/>
      <c r="J34" s="1719"/>
      <c r="K34" s="550"/>
      <c r="L34" s="549"/>
    </row>
    <row r="35" spans="1:12">
      <c r="A35" s="547"/>
      <c r="B35" s="546"/>
      <c r="C35" s="546"/>
      <c r="D35" s="546"/>
      <c r="E35" s="546"/>
      <c r="F35" s="546"/>
      <c r="G35" s="546"/>
      <c r="H35" s="546"/>
      <c r="I35" s="546"/>
      <c r="J35" s="546"/>
      <c r="K35" s="547"/>
    </row>
    <row r="49" spans="1:11">
      <c r="A49" s="192" t="s">
        <v>1004</v>
      </c>
    </row>
    <row r="50" spans="1:11">
      <c r="A50" s="192" t="s">
        <v>657</v>
      </c>
    </row>
    <row r="51" spans="1:11">
      <c r="A51" s="192" t="s">
        <v>658</v>
      </c>
    </row>
    <row r="57" spans="1:11" ht="24" customHeight="1">
      <c r="A57" s="1702" t="s">
        <v>1215</v>
      </c>
      <c r="B57" s="1702"/>
      <c r="C57" s="1702"/>
      <c r="D57" s="1702"/>
      <c r="E57" s="1702"/>
      <c r="F57" s="1702"/>
      <c r="G57" s="1702"/>
      <c r="H57" s="1702"/>
      <c r="I57" s="1702"/>
      <c r="J57" s="1702"/>
      <c r="K57" s="1702"/>
    </row>
    <row r="58" spans="1:11">
      <c r="A58" s="849"/>
      <c r="B58" s="849"/>
      <c r="C58" s="849"/>
      <c r="D58" s="849"/>
      <c r="E58" s="849"/>
      <c r="F58" s="849"/>
      <c r="G58" s="849"/>
      <c r="H58" s="849"/>
      <c r="I58" s="849"/>
      <c r="J58" s="849"/>
      <c r="K58" s="849"/>
    </row>
    <row r="59" spans="1:11">
      <c r="A59" s="849"/>
      <c r="B59" s="849"/>
      <c r="C59" s="849"/>
      <c r="D59" s="849"/>
      <c r="E59" s="849"/>
      <c r="F59" s="849"/>
      <c r="G59" s="849"/>
      <c r="H59" s="849"/>
      <c r="I59" s="849"/>
      <c r="J59" s="849"/>
      <c r="K59" s="849"/>
    </row>
    <row r="60" spans="1:11" ht="199.5" customHeight="1">
      <c r="A60" s="1701" t="s">
        <v>879</v>
      </c>
      <c r="B60" s="1701"/>
      <c r="C60" s="1701"/>
      <c r="D60" s="1701"/>
      <c r="E60" s="1701"/>
      <c r="F60" s="1701"/>
      <c r="G60" s="1701"/>
      <c r="H60" s="1701"/>
      <c r="I60" s="1701"/>
      <c r="J60" s="1701"/>
      <c r="K60" s="1701"/>
    </row>
    <row r="62" spans="1:11">
      <c r="A62" s="958"/>
    </row>
    <row r="63" spans="1:11">
      <c r="A63" s="958"/>
    </row>
    <row r="64" spans="1:11">
      <c r="A64" s="958"/>
    </row>
    <row r="65" spans="1:1">
      <c r="A65" s="958"/>
    </row>
  </sheetData>
  <sheetProtection sheet="1"/>
  <mergeCells count="15">
    <mergeCell ref="A60:K60"/>
    <mergeCell ref="A57:K57"/>
    <mergeCell ref="B31:C32"/>
    <mergeCell ref="B33:C34"/>
    <mergeCell ref="D31:J32"/>
    <mergeCell ref="D33:J34"/>
    <mergeCell ref="A26:K28"/>
    <mergeCell ref="F23:K23"/>
    <mergeCell ref="G14:H14"/>
    <mergeCell ref="I14:J14"/>
    <mergeCell ref="I7:K7"/>
    <mergeCell ref="G11:K11"/>
    <mergeCell ref="G13:K13"/>
    <mergeCell ref="F21:I21"/>
    <mergeCell ref="J21:K21"/>
  </mergeCells>
  <phoneticPr fontId="22"/>
  <pageMargins left="0.59" right="0.39" top="1" bottom="1" header="0.51200000000000001" footer="0.51200000000000001"/>
  <pageSetup paperSize="9" fitToHeight="2" orientation="portrait" r:id="rId1"/>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25">
    <tabColor indexed="62"/>
    <pageSetUpPr autoPageBreaks="0" fitToPage="1"/>
  </sheetPr>
  <dimension ref="A1:J65"/>
  <sheetViews>
    <sheetView showGridLines="0" zoomScaleNormal="100" workbookViewId="0"/>
  </sheetViews>
  <sheetFormatPr defaultColWidth="9" defaultRowHeight="14"/>
  <cols>
    <col min="1" max="1" width="7.08203125" style="779" customWidth="1"/>
    <col min="2" max="2" width="4.08203125" style="779" customWidth="1"/>
    <col min="3" max="3" width="5.58203125" style="779" customWidth="1"/>
    <col min="4" max="4" width="9.08203125" style="779" customWidth="1"/>
    <col min="5" max="8" width="14.58203125" style="779" customWidth="1"/>
    <col min="9" max="9" width="10" style="779" bestFit="1" customWidth="1"/>
    <col min="10" max="16384" width="9" style="779"/>
  </cols>
  <sheetData>
    <row r="1" spans="1:8" ht="21" customHeight="1"/>
    <row r="2" spans="1:8" ht="21" customHeight="1">
      <c r="B2" s="782"/>
      <c r="C2" s="782"/>
      <c r="D2" s="782"/>
      <c r="E2" s="1720" t="s">
        <v>1130</v>
      </c>
      <c r="F2" s="1720"/>
      <c r="G2" s="784"/>
      <c r="H2" s="784"/>
    </row>
    <row r="3" spans="1:8" ht="21" customHeight="1">
      <c r="A3" s="782" t="str">
        <f>基本入力!C4</f>
        <v>コミュニティー団地</v>
      </c>
      <c r="B3" s="782"/>
      <c r="C3" s="782"/>
      <c r="D3" s="782"/>
      <c r="E3" s="795"/>
      <c r="F3" s="795"/>
      <c r="G3" s="784"/>
      <c r="H3" s="784"/>
    </row>
    <row r="4" spans="1:8" ht="21" customHeight="1" thickBot="1">
      <c r="B4" s="782"/>
      <c r="C4" s="782"/>
      <c r="D4" s="782"/>
      <c r="E4" s="783"/>
      <c r="F4" s="783"/>
      <c r="G4" s="784"/>
      <c r="H4" s="908" t="s">
        <v>1157</v>
      </c>
    </row>
    <row r="5" spans="1:8" ht="21" customHeight="1">
      <c r="A5" s="1735" t="s">
        <v>1126</v>
      </c>
      <c r="B5" s="1737" t="s">
        <v>1127</v>
      </c>
      <c r="C5" s="1738"/>
      <c r="D5" s="1739"/>
      <c r="E5" s="1743" t="s">
        <v>9</v>
      </c>
      <c r="F5" s="1744"/>
      <c r="G5" s="1730" t="s">
        <v>10</v>
      </c>
      <c r="H5" s="1731"/>
    </row>
    <row r="6" spans="1:8" ht="21" customHeight="1">
      <c r="A6" s="1736"/>
      <c r="B6" s="1740"/>
      <c r="C6" s="1741"/>
      <c r="D6" s="1742"/>
      <c r="E6" s="793" t="s">
        <v>1155</v>
      </c>
      <c r="F6" s="793" t="s">
        <v>1156</v>
      </c>
      <c r="G6" s="793" t="s">
        <v>1155</v>
      </c>
      <c r="H6" s="794" t="s">
        <v>1134</v>
      </c>
    </row>
    <row r="7" spans="1:8" ht="21" customHeight="1">
      <c r="A7" s="899" t="s">
        <v>123</v>
      </c>
      <c r="B7" s="1795" t="s">
        <v>1033</v>
      </c>
      <c r="C7" s="1796"/>
      <c r="D7" s="893">
        <f>約款料金!B9</f>
        <v>8</v>
      </c>
      <c r="E7" s="902">
        <f>約款料金!B13</f>
        <v>1000</v>
      </c>
      <c r="F7" s="902">
        <f>約款料金!B14</f>
        <v>488</v>
      </c>
      <c r="G7" s="903">
        <f>約款料金!B33</f>
        <v>900</v>
      </c>
      <c r="H7" s="904">
        <f>約款料金!B34</f>
        <v>380</v>
      </c>
    </row>
    <row r="8" spans="1:8" ht="21" customHeight="1">
      <c r="A8" s="892" t="s">
        <v>124</v>
      </c>
      <c r="B8" s="1756">
        <f>約款料金!B9</f>
        <v>8</v>
      </c>
      <c r="C8" s="1757"/>
      <c r="D8" s="901">
        <f>IF(約款料金!C9="","るもの",約款料金!C9)</f>
        <v>30</v>
      </c>
      <c r="E8" s="902">
        <f>約款料金!C13</f>
        <v>1319.2</v>
      </c>
      <c r="F8" s="902">
        <f>約款料金!C14</f>
        <v>448.1</v>
      </c>
      <c r="G8" s="903">
        <f>約款料金!C33</f>
        <v>1300</v>
      </c>
      <c r="H8" s="904">
        <f>約款料金!C34</f>
        <v>330</v>
      </c>
    </row>
    <row r="9" spans="1:8" ht="21" customHeight="1" thickBot="1">
      <c r="A9" s="900" t="s">
        <v>125</v>
      </c>
      <c r="B9" s="1801">
        <f>IF(約款料金!C9="","－",約款料金!C9)</f>
        <v>30</v>
      </c>
      <c r="C9" s="1802"/>
      <c r="D9" s="1803"/>
      <c r="E9" s="905">
        <f>IF(約款料金!C13=約款料金!D13,"－     ",約款料金!D13)</f>
        <v>2516.1999999999998</v>
      </c>
      <c r="F9" s="905">
        <f>IF(約款料金!C14=約款料金!D14,"－     ",約款料金!D14)</f>
        <v>408.2</v>
      </c>
      <c r="G9" s="906">
        <f>IF(約款料金!D33="","－     ",約款料金!D33)</f>
        <v>2500</v>
      </c>
      <c r="H9" s="907">
        <f>IF(約款料金!D34="","－     ",約款料金!D34)</f>
        <v>290</v>
      </c>
    </row>
    <row r="10" spans="1:8" ht="21" customHeight="1">
      <c r="A10" s="917"/>
      <c r="B10" s="918"/>
      <c r="C10" s="918"/>
      <c r="D10" s="918"/>
      <c r="E10" s="919"/>
      <c r="F10" s="919"/>
      <c r="G10" s="920"/>
      <c r="H10" s="920"/>
    </row>
    <row r="11" spans="1:8" ht="21" customHeight="1" thickBot="1"/>
    <row r="12" spans="1:8" s="214" customFormat="1" ht="21" customHeight="1">
      <c r="A12" s="1749" t="s">
        <v>1129</v>
      </c>
      <c r="B12" s="1732" t="s">
        <v>1108</v>
      </c>
      <c r="C12" s="772"/>
      <c r="D12" s="1799" t="s">
        <v>1109</v>
      </c>
      <c r="E12" s="1799"/>
      <c r="F12" s="1799"/>
      <c r="G12" s="1799"/>
      <c r="H12" s="785"/>
    </row>
    <row r="13" spans="1:8" s="214" customFormat="1" ht="21" customHeight="1">
      <c r="A13" s="1750"/>
      <c r="B13" s="1733"/>
      <c r="C13" s="773"/>
      <c r="D13" s="1727" t="s">
        <v>1110</v>
      </c>
      <c r="E13" s="1727"/>
      <c r="F13" s="1727"/>
      <c r="G13" s="1727"/>
      <c r="H13" s="786"/>
    </row>
    <row r="14" spans="1:8" s="214" customFormat="1" ht="21" customHeight="1">
      <c r="A14" s="1750"/>
      <c r="B14" s="1734"/>
      <c r="C14" s="1754">
        <f>展開!A28</f>
        <v>22994154.634999998</v>
      </c>
      <c r="D14" s="1755"/>
      <c r="E14" s="778" t="s">
        <v>1111</v>
      </c>
      <c r="F14" s="787">
        <f>IF(基本入力!$D$8="Y",投資額!$G$6,IF(基本入力!$C$9&gt;0,基本入力!$C$9,販売量ﾃﾞｰﾀ!$H$39))</f>
        <v>38514</v>
      </c>
      <c r="G14" s="778" t="s">
        <v>1112</v>
      </c>
      <c r="H14" s="788">
        <f>+ROUND(+C14/F14,2)</f>
        <v>597.03</v>
      </c>
    </row>
    <row r="15" spans="1:8" s="214" customFormat="1" ht="21" customHeight="1">
      <c r="A15" s="1750"/>
      <c r="B15" s="1800" t="s">
        <v>1113</v>
      </c>
      <c r="C15" s="775"/>
      <c r="D15" s="1753" t="s">
        <v>1114</v>
      </c>
      <c r="E15" s="1753"/>
      <c r="F15" s="1753"/>
      <c r="G15" s="1753"/>
      <c r="H15" s="789"/>
    </row>
    <row r="16" spans="1:8" s="214" customFormat="1" ht="21" customHeight="1">
      <c r="A16" s="1750"/>
      <c r="B16" s="1733"/>
      <c r="C16" s="776"/>
      <c r="D16" s="1727" t="s">
        <v>1110</v>
      </c>
      <c r="E16" s="1727"/>
      <c r="F16" s="1727"/>
      <c r="G16" s="1727"/>
      <c r="H16" s="786"/>
    </row>
    <row r="17" spans="1:8" s="214" customFormat="1" ht="21" customHeight="1">
      <c r="A17" s="1751"/>
      <c r="B17" s="1734"/>
      <c r="C17" s="1797">
        <f>H50</f>
        <v>16336492</v>
      </c>
      <c r="D17" s="1798"/>
      <c r="E17" s="778" t="s">
        <v>1111</v>
      </c>
      <c r="F17" s="804">
        <f>F14</f>
        <v>38514</v>
      </c>
      <c r="G17" s="778" t="s">
        <v>1112</v>
      </c>
      <c r="H17" s="788">
        <f>IF(C17="","",+ROUND(+C17/F17,2))</f>
        <v>424.17</v>
      </c>
    </row>
    <row r="18" spans="1:8" s="214" customFormat="1" ht="21" hidden="1" customHeight="1">
      <c r="A18" s="1752" t="s">
        <v>1209</v>
      </c>
      <c r="B18" s="1721" t="s">
        <v>1108</v>
      </c>
      <c r="C18" s="774"/>
      <c r="D18" s="1724" t="s">
        <v>1210</v>
      </c>
      <c r="E18" s="1725"/>
      <c r="F18" s="1725"/>
      <c r="G18" s="1725"/>
      <c r="H18" s="789"/>
    </row>
    <row r="19" spans="1:8" s="214" customFormat="1" ht="21" hidden="1" customHeight="1">
      <c r="A19" s="1750"/>
      <c r="B19" s="1722"/>
      <c r="C19" s="777"/>
      <c r="D19" s="1726" t="s">
        <v>1212</v>
      </c>
      <c r="E19" s="1727"/>
      <c r="F19" s="1727"/>
      <c r="G19" s="1727"/>
      <c r="H19" s="786"/>
    </row>
    <row r="20" spans="1:8" s="214" customFormat="1" ht="21" hidden="1" customHeight="1">
      <c r="A20" s="1750"/>
      <c r="B20" s="1723"/>
      <c r="C20" s="1754">
        <f>展開!A28+展開!C28</f>
        <v>22994154.634999998</v>
      </c>
      <c r="D20" s="1755"/>
      <c r="E20" s="778" t="s">
        <v>1115</v>
      </c>
      <c r="F20" s="787">
        <f>IF(基本入力!$D$8="Y",投資額!$G$6,IF(基本入力!$C$9&gt;0,基本入力!$C$9,販売量ﾃﾞｰﾀ!$H$39+販売量ﾃﾞｰﾀ!F17))</f>
        <v>38514</v>
      </c>
      <c r="G20" s="778" t="s">
        <v>1116</v>
      </c>
      <c r="H20" s="788">
        <f>+ROUND(+C20/F20,2)</f>
        <v>597.03</v>
      </c>
    </row>
    <row r="21" spans="1:8" s="214" customFormat="1" ht="21" hidden="1" customHeight="1">
      <c r="A21" s="1750"/>
      <c r="B21" s="1721" t="s">
        <v>1117</v>
      </c>
      <c r="C21" s="774"/>
      <c r="D21" s="1724" t="s">
        <v>1211</v>
      </c>
      <c r="E21" s="1753"/>
      <c r="F21" s="1753"/>
      <c r="G21" s="1753"/>
      <c r="H21" s="790"/>
    </row>
    <row r="22" spans="1:8" s="214" customFormat="1" ht="21" hidden="1" customHeight="1">
      <c r="A22" s="1750"/>
      <c r="B22" s="1722"/>
      <c r="C22" s="778"/>
      <c r="D22" s="1726" t="s">
        <v>1212</v>
      </c>
      <c r="E22" s="1727"/>
      <c r="F22" s="1727"/>
      <c r="G22" s="1727"/>
      <c r="H22" s="791"/>
    </row>
    <row r="23" spans="1:8" s="214" customFormat="1" ht="21" hidden="1" customHeight="1">
      <c r="A23" s="1750"/>
      <c r="B23" s="1722"/>
      <c r="C23" s="1772">
        <f>IF(H50=0,"",(H50+H65))</f>
        <v>16336492</v>
      </c>
      <c r="D23" s="1773"/>
      <c r="E23" s="778" t="s">
        <v>1100</v>
      </c>
      <c r="F23" s="804">
        <f>F20</f>
        <v>38514</v>
      </c>
      <c r="G23" s="778" t="s">
        <v>1101</v>
      </c>
      <c r="H23" s="788">
        <f>IF(C23="","",+ROUND(+C23/F23,2))</f>
        <v>424.17</v>
      </c>
    </row>
    <row r="24" spans="1:8" s="214" customFormat="1" ht="21" customHeight="1">
      <c r="A24" s="1761"/>
      <c r="B24" s="1762"/>
      <c r="C24" s="1531"/>
      <c r="D24" s="1532" t="s">
        <v>1118</v>
      </c>
      <c r="E24" s="1763" t="s">
        <v>1133</v>
      </c>
      <c r="F24" s="1768" t="s">
        <v>1128</v>
      </c>
      <c r="G24" s="1533"/>
      <c r="H24" s="1534"/>
    </row>
    <row r="25" spans="1:8" ht="21" customHeight="1">
      <c r="A25" s="1770" t="s">
        <v>1119</v>
      </c>
      <c r="B25" s="1771"/>
      <c r="C25" s="782"/>
      <c r="D25" s="792" t="s">
        <v>1120</v>
      </c>
      <c r="E25" s="1764"/>
      <c r="F25" s="1769"/>
      <c r="G25" s="782"/>
      <c r="H25" s="936"/>
    </row>
    <row r="26" spans="1:8" ht="21" customHeight="1">
      <c r="A26" s="1745" t="s">
        <v>1121</v>
      </c>
      <c r="B26" s="1746"/>
      <c r="C26" s="1792" t="s">
        <v>1132</v>
      </c>
      <c r="D26" s="1781"/>
      <c r="E26" s="800">
        <f>H14</f>
        <v>597.03</v>
      </c>
      <c r="F26" s="1747" t="s">
        <v>1131</v>
      </c>
      <c r="G26" s="1781" t="s">
        <v>1101</v>
      </c>
      <c r="H26" s="1777">
        <f>IF(E27="","",ROUND(((E26/E27*100-100)/100),4))</f>
        <v>0.40749999999999997</v>
      </c>
    </row>
    <row r="27" spans="1:8" ht="21" customHeight="1" thickBot="1">
      <c r="A27" s="1779"/>
      <c r="B27" s="1780"/>
      <c r="C27" s="1790"/>
      <c r="D27" s="1791"/>
      <c r="E27" s="803">
        <f>H17</f>
        <v>424.17</v>
      </c>
      <c r="F27" s="1748"/>
      <c r="G27" s="1748"/>
      <c r="H27" s="1778"/>
    </row>
    <row r="28" spans="1:8" ht="21" hidden="1" customHeight="1">
      <c r="A28" s="1728"/>
      <c r="B28" s="1729"/>
      <c r="C28" s="1789" t="s">
        <v>1132</v>
      </c>
      <c r="D28" s="1781"/>
      <c r="E28" s="800">
        <f>H20</f>
        <v>597.03</v>
      </c>
      <c r="F28" s="1747" t="s">
        <v>1131</v>
      </c>
      <c r="G28" s="1781" t="s">
        <v>1101</v>
      </c>
      <c r="H28" s="1777">
        <f>IF(E29="","",ROUND(((E28/E29*100-100)/100),4))</f>
        <v>0.40749999999999997</v>
      </c>
    </row>
    <row r="29" spans="1:8" ht="21" hidden="1" customHeight="1" thickBot="1">
      <c r="A29" s="1793"/>
      <c r="B29" s="1794"/>
      <c r="C29" s="1790"/>
      <c r="D29" s="1791"/>
      <c r="E29" s="803">
        <f>H23</f>
        <v>424.17</v>
      </c>
      <c r="F29" s="1748"/>
      <c r="G29" s="1748"/>
      <c r="H29" s="1778"/>
    </row>
    <row r="30" spans="1:8" ht="21" customHeight="1">
      <c r="A30" s="796"/>
      <c r="B30" s="797"/>
      <c r="C30" s="770"/>
      <c r="D30" s="770"/>
      <c r="E30" s="802"/>
      <c r="F30" s="781"/>
      <c r="G30" s="781"/>
      <c r="H30" s="801"/>
    </row>
    <row r="31" spans="1:8" ht="21" customHeight="1">
      <c r="A31" s="796"/>
      <c r="B31" s="797"/>
      <c r="C31" s="770"/>
      <c r="D31" s="770"/>
      <c r="E31" s="802"/>
      <c r="F31" s="781"/>
      <c r="G31" s="781"/>
      <c r="H31" s="801"/>
    </row>
    <row r="32" spans="1:8" ht="21" customHeight="1" thickBot="1">
      <c r="A32" s="780"/>
      <c r="B32" s="780"/>
      <c r="C32" s="780"/>
      <c r="D32" s="780"/>
      <c r="E32" s="780"/>
      <c r="F32" s="780"/>
      <c r="G32" s="780"/>
      <c r="H32" s="780"/>
    </row>
    <row r="33" spans="1:8" s="926" customFormat="1" ht="21" customHeight="1">
      <c r="A33" s="922" t="s">
        <v>1102</v>
      </c>
      <c r="B33" s="923"/>
      <c r="C33" s="923"/>
      <c r="D33" s="924"/>
      <c r="E33" s="924"/>
      <c r="F33" s="923"/>
      <c r="G33" s="923"/>
      <c r="H33" s="925"/>
    </row>
    <row r="34" spans="1:8" s="926" customFormat="1" ht="21" customHeight="1">
      <c r="A34" s="927"/>
      <c r="B34" s="782" t="s">
        <v>1103</v>
      </c>
      <c r="C34" s="928"/>
      <c r="D34" s="782"/>
      <c r="E34" s="782"/>
      <c r="F34" s="928"/>
      <c r="G34" s="928"/>
      <c r="H34" s="929"/>
    </row>
    <row r="35" spans="1:8" s="926" customFormat="1" ht="21" customHeight="1">
      <c r="A35" s="927"/>
      <c r="B35" s="928" t="s">
        <v>1104</v>
      </c>
      <c r="C35" s="928"/>
      <c r="D35" s="928"/>
      <c r="E35" s="928"/>
      <c r="F35" s="928"/>
      <c r="G35" s="928"/>
      <c r="H35" s="929"/>
    </row>
    <row r="36" spans="1:8" s="926" customFormat="1" ht="21" customHeight="1">
      <c r="A36" s="927"/>
      <c r="B36" s="937" t="s">
        <v>49</v>
      </c>
      <c r="C36" s="928"/>
      <c r="D36" s="928"/>
      <c r="E36" s="928"/>
      <c r="F36" s="928"/>
      <c r="G36" s="928"/>
      <c r="H36" s="929"/>
    </row>
    <row r="37" spans="1:8" s="926" customFormat="1" ht="21" customHeight="1">
      <c r="A37" s="927"/>
      <c r="B37" s="930" t="s">
        <v>45</v>
      </c>
      <c r="C37" s="931"/>
      <c r="D37" s="932"/>
      <c r="E37" s="931"/>
      <c r="F37" s="931"/>
      <c r="G37" s="931"/>
      <c r="H37" s="933"/>
    </row>
    <row r="38" spans="1:8" s="926" customFormat="1" ht="21" customHeight="1">
      <c r="A38" s="927"/>
      <c r="B38" s="934"/>
      <c r="C38" s="782" t="s">
        <v>1103</v>
      </c>
      <c r="D38" s="782"/>
      <c r="E38" s="928"/>
      <c r="F38" s="928"/>
      <c r="G38" s="928"/>
      <c r="H38" s="929"/>
    </row>
    <row r="39" spans="1:8" s="926" customFormat="1" ht="21" customHeight="1">
      <c r="A39" s="927"/>
      <c r="B39" s="934"/>
      <c r="C39" s="928" t="s">
        <v>44</v>
      </c>
      <c r="D39" s="928"/>
      <c r="E39" s="928"/>
      <c r="F39" s="928"/>
      <c r="G39" s="928"/>
      <c r="H39" s="929"/>
    </row>
    <row r="40" spans="1:8" s="926" customFormat="1" ht="21" customHeight="1">
      <c r="A40" s="927"/>
      <c r="B40" s="934"/>
      <c r="C40" s="937" t="s">
        <v>48</v>
      </c>
      <c r="D40" s="928"/>
      <c r="E40" s="928"/>
      <c r="F40" s="928"/>
      <c r="G40" s="928"/>
      <c r="H40" s="929"/>
    </row>
    <row r="41" spans="1:8" s="926" customFormat="1" ht="21" customHeight="1" thickBot="1">
      <c r="A41" s="935"/>
      <c r="B41" s="934"/>
      <c r="C41" s="921" t="s">
        <v>47</v>
      </c>
      <c r="D41" s="811"/>
      <c r="E41" s="811"/>
      <c r="F41" s="928"/>
      <c r="G41" s="928"/>
      <c r="H41" s="929"/>
    </row>
    <row r="42" spans="1:8" ht="21" customHeight="1">
      <c r="A42" s="1788" t="s">
        <v>46</v>
      </c>
      <c r="B42" s="1774" t="s">
        <v>1105</v>
      </c>
      <c r="C42" s="842"/>
      <c r="D42" s="820" t="s">
        <v>67</v>
      </c>
      <c r="E42" s="812" t="s">
        <v>1106</v>
      </c>
      <c r="F42" s="812" t="s">
        <v>68</v>
      </c>
      <c r="G42" s="813" t="s">
        <v>1122</v>
      </c>
      <c r="H42" s="895" t="s">
        <v>1153</v>
      </c>
    </row>
    <row r="43" spans="1:8" ht="21" customHeight="1">
      <c r="A43" s="1783"/>
      <c r="B43" s="1775"/>
      <c r="C43" s="809" t="s">
        <v>123</v>
      </c>
      <c r="D43" s="822">
        <f>IF(約款料金!B33="","",約款料金!B33)</f>
        <v>900</v>
      </c>
      <c r="E43" s="823" t="s">
        <v>1106</v>
      </c>
      <c r="F43" s="824">
        <f>IF(D43="","",参考資料!D5)</f>
        <v>676.2</v>
      </c>
      <c r="G43" s="825" t="s">
        <v>1122</v>
      </c>
      <c r="H43" s="826">
        <f>IF(D43="","",ROUND(+D43*F43,0))</f>
        <v>608580</v>
      </c>
    </row>
    <row r="44" spans="1:8" ht="21" customHeight="1">
      <c r="A44" s="1783"/>
      <c r="B44" s="1775"/>
      <c r="C44" s="809" t="s">
        <v>124</v>
      </c>
      <c r="D44" s="827">
        <f>IF(約款料金!C33="","",約款料金!C33)</f>
        <v>1300</v>
      </c>
      <c r="E44" s="798" t="s">
        <v>1106</v>
      </c>
      <c r="F44" s="799">
        <f>IF(D44="","",参考資料!E5)</f>
        <v>1793.4</v>
      </c>
      <c r="G44" s="770" t="s">
        <v>1122</v>
      </c>
      <c r="H44" s="814">
        <f>IF(D44="","",ROUND(+D44*F44,0))</f>
        <v>2331420</v>
      </c>
    </row>
    <row r="45" spans="1:8" ht="21" customHeight="1">
      <c r="A45" s="1783"/>
      <c r="B45" s="1776"/>
      <c r="C45" s="809" t="s">
        <v>125</v>
      </c>
      <c r="D45" s="828">
        <f>IF(約款料金!D33="","",約款料金!D33)</f>
        <v>2500</v>
      </c>
      <c r="E45" s="821" t="s">
        <v>1106</v>
      </c>
      <c r="F45" s="816">
        <f>IF(D45="","",参考資料!F5)</f>
        <v>470.4</v>
      </c>
      <c r="G45" s="829" t="s">
        <v>1122</v>
      </c>
      <c r="H45" s="815">
        <f>IF(D45="","",ROUND(+D45*F45,0))</f>
        <v>1176000</v>
      </c>
    </row>
    <row r="46" spans="1:8" ht="21" customHeight="1">
      <c r="A46" s="1783"/>
      <c r="B46" s="1785" t="s">
        <v>1134</v>
      </c>
      <c r="C46" s="843"/>
      <c r="D46" s="840" t="s">
        <v>67</v>
      </c>
      <c r="E46" s="823" t="s">
        <v>1106</v>
      </c>
      <c r="F46" s="823" t="s">
        <v>69</v>
      </c>
      <c r="G46" s="825" t="s">
        <v>1122</v>
      </c>
      <c r="H46" s="896" t="s">
        <v>1154</v>
      </c>
    </row>
    <row r="47" spans="1:8" ht="21" customHeight="1">
      <c r="A47" s="1783"/>
      <c r="B47" s="1786"/>
      <c r="C47" s="809" t="s">
        <v>123</v>
      </c>
      <c r="D47" s="830">
        <f>IF(約款料金!B34="","",約款料金!B34)</f>
        <v>380</v>
      </c>
      <c r="E47" s="823" t="s">
        <v>1123</v>
      </c>
      <c r="F47" s="824">
        <f>IF(D47="","",参考資料!D7)</f>
        <v>1925.7</v>
      </c>
      <c r="G47" s="825" t="s">
        <v>1124</v>
      </c>
      <c r="H47" s="826">
        <f>IF(D47="","",ROUND(+D47*F47,0))</f>
        <v>731766</v>
      </c>
    </row>
    <row r="48" spans="1:8" ht="21" customHeight="1">
      <c r="A48" s="1783"/>
      <c r="B48" s="1786"/>
      <c r="C48" s="809" t="s">
        <v>124</v>
      </c>
      <c r="D48" s="831">
        <f>IF(約款料金!C34="","",約款料金!C34)</f>
        <v>330</v>
      </c>
      <c r="E48" s="798" t="s">
        <v>1123</v>
      </c>
      <c r="F48" s="799">
        <f>IF(D48="","",参考資料!E7)</f>
        <v>21952.98</v>
      </c>
      <c r="G48" s="770" t="s">
        <v>1124</v>
      </c>
      <c r="H48" s="814">
        <f>IF(D48="","",ROUND(+D48*F48,0))</f>
        <v>7244483</v>
      </c>
    </row>
    <row r="49" spans="1:10" ht="21" customHeight="1">
      <c r="A49" s="1783"/>
      <c r="B49" s="1787"/>
      <c r="C49" s="810" t="s">
        <v>125</v>
      </c>
      <c r="D49" s="841">
        <f>IF(約款料金!D34="","",約款料金!D34)</f>
        <v>290</v>
      </c>
      <c r="E49" s="821" t="s">
        <v>1123</v>
      </c>
      <c r="F49" s="816">
        <f>IF(D49="","",参考資料!F7)</f>
        <v>14635.32</v>
      </c>
      <c r="G49" s="829" t="s">
        <v>1124</v>
      </c>
      <c r="H49" s="815">
        <f>IF(D49="","",ROUND(+D49*F49,0))</f>
        <v>4244243</v>
      </c>
    </row>
    <row r="50" spans="1:10" ht="21" customHeight="1" thickBot="1">
      <c r="A50" s="1784"/>
      <c r="B50" s="1535"/>
      <c r="C50" s="1535"/>
      <c r="D50" s="1536" t="s">
        <v>1107</v>
      </c>
      <c r="E50" s="1537"/>
      <c r="F50" s="1536" t="s">
        <v>1125</v>
      </c>
      <c r="G50" s="1538"/>
      <c r="H50" s="1539">
        <f>SUM(H43:H49)</f>
        <v>16336492</v>
      </c>
    </row>
    <row r="51" spans="1:10" ht="21" hidden="1" customHeight="1">
      <c r="A51" s="1782" t="s">
        <v>1200</v>
      </c>
      <c r="B51" s="1765" t="s">
        <v>1105</v>
      </c>
      <c r="C51" s="842"/>
      <c r="D51" s="832" t="s">
        <v>67</v>
      </c>
      <c r="E51" s="833" t="s">
        <v>1106</v>
      </c>
      <c r="F51" s="833" t="s">
        <v>68</v>
      </c>
      <c r="G51" s="834" t="s">
        <v>1122</v>
      </c>
      <c r="H51" s="897" t="s">
        <v>1153</v>
      </c>
    </row>
    <row r="52" spans="1:10" ht="21" hidden="1" customHeight="1">
      <c r="A52" s="1783"/>
      <c r="B52" s="1766"/>
      <c r="C52" s="807" t="s">
        <v>123</v>
      </c>
      <c r="D52" s="805"/>
      <c r="E52" s="798" t="s">
        <v>1106</v>
      </c>
      <c r="F52" s="844"/>
      <c r="G52" s="770" t="s">
        <v>1122</v>
      </c>
      <c r="H52" s="814" t="str">
        <f t="shared" ref="H52:H57" si="0">IF(D52="","",ROUND(+D52*F52,0))</f>
        <v/>
      </c>
      <c r="J52" s="1523" t="s">
        <v>1197</v>
      </c>
    </row>
    <row r="53" spans="1:10" ht="21" hidden="1" customHeight="1">
      <c r="A53" s="1783"/>
      <c r="B53" s="1766"/>
      <c r="C53" s="807" t="s">
        <v>124</v>
      </c>
      <c r="D53" s="805"/>
      <c r="E53" s="798" t="s">
        <v>1106</v>
      </c>
      <c r="F53" s="844"/>
      <c r="G53" s="770" t="s">
        <v>1122</v>
      </c>
      <c r="H53" s="814" t="str">
        <f>IF(D53="","",ROUND(+D53*F53,0))</f>
        <v/>
      </c>
    </row>
    <row r="54" spans="1:10" ht="21" hidden="1" customHeight="1">
      <c r="A54" s="1783"/>
      <c r="B54" s="1766"/>
      <c r="C54" s="807" t="s">
        <v>63</v>
      </c>
      <c r="D54" s="805"/>
      <c r="E54" s="798" t="s">
        <v>1106</v>
      </c>
      <c r="F54" s="844"/>
      <c r="G54" s="770" t="s">
        <v>1122</v>
      </c>
      <c r="H54" s="814" t="str">
        <f t="shared" si="0"/>
        <v/>
      </c>
    </row>
    <row r="55" spans="1:10" ht="21" hidden="1" customHeight="1">
      <c r="A55" s="1783"/>
      <c r="B55" s="1766"/>
      <c r="C55" s="807" t="s">
        <v>64</v>
      </c>
      <c r="D55" s="805"/>
      <c r="E55" s="798" t="s">
        <v>1106</v>
      </c>
      <c r="F55" s="844"/>
      <c r="G55" s="770" t="s">
        <v>1122</v>
      </c>
      <c r="H55" s="814" t="str">
        <f t="shared" si="0"/>
        <v/>
      </c>
    </row>
    <row r="56" spans="1:10" ht="21" hidden="1" customHeight="1">
      <c r="A56" s="1783"/>
      <c r="B56" s="1766"/>
      <c r="C56" s="807" t="s">
        <v>65</v>
      </c>
      <c r="D56" s="805"/>
      <c r="E56" s="798" t="s">
        <v>1106</v>
      </c>
      <c r="F56" s="844"/>
      <c r="G56" s="770" t="s">
        <v>1122</v>
      </c>
      <c r="H56" s="814" t="str">
        <f t="shared" si="0"/>
        <v/>
      </c>
    </row>
    <row r="57" spans="1:10" ht="21" hidden="1" customHeight="1">
      <c r="A57" s="1783"/>
      <c r="B57" s="1767"/>
      <c r="C57" s="809" t="s">
        <v>66</v>
      </c>
      <c r="D57" s="805"/>
      <c r="E57" s="798" t="s">
        <v>1106</v>
      </c>
      <c r="F57" s="844"/>
      <c r="G57" s="770" t="s">
        <v>1122</v>
      </c>
      <c r="H57" s="814" t="str">
        <f t="shared" si="0"/>
        <v/>
      </c>
      <c r="I57" s="887"/>
    </row>
    <row r="58" spans="1:10" ht="21" hidden="1" customHeight="1">
      <c r="A58" s="1783"/>
      <c r="B58" s="1758" t="s">
        <v>61</v>
      </c>
      <c r="C58" s="843"/>
      <c r="D58" s="819" t="s">
        <v>67</v>
      </c>
      <c r="E58" s="817" t="s">
        <v>1106</v>
      </c>
      <c r="F58" s="817" t="s">
        <v>69</v>
      </c>
      <c r="G58" s="818" t="s">
        <v>1122</v>
      </c>
      <c r="H58" s="898" t="s">
        <v>1154</v>
      </c>
    </row>
    <row r="59" spans="1:10" ht="21" hidden="1" customHeight="1">
      <c r="A59" s="1783"/>
      <c r="B59" s="1759"/>
      <c r="C59" s="807" t="s">
        <v>123</v>
      </c>
      <c r="D59" s="805"/>
      <c r="E59" s="798" t="s">
        <v>1123</v>
      </c>
      <c r="F59" s="916"/>
      <c r="G59" s="770" t="s">
        <v>1124</v>
      </c>
      <c r="H59" s="814" t="str">
        <f t="shared" ref="H59:H64" si="1">IF(D59="","",ROUND(+D59*F59,0))</f>
        <v/>
      </c>
    </row>
    <row r="60" spans="1:10" ht="21" hidden="1" customHeight="1">
      <c r="A60" s="1783"/>
      <c r="B60" s="1759"/>
      <c r="C60" s="807" t="s">
        <v>124</v>
      </c>
      <c r="D60" s="806"/>
      <c r="E60" s="798" t="s">
        <v>1123</v>
      </c>
      <c r="F60" s="916"/>
      <c r="G60" s="770" t="s">
        <v>1124</v>
      </c>
      <c r="H60" s="814" t="str">
        <f>IF(D60="","",ROUND(+D60*F60,0))</f>
        <v/>
      </c>
    </row>
    <row r="61" spans="1:10" ht="21" hidden="1" customHeight="1">
      <c r="A61" s="1783"/>
      <c r="B61" s="1759"/>
      <c r="C61" s="807" t="s">
        <v>63</v>
      </c>
      <c r="D61" s="806"/>
      <c r="E61" s="798" t="s">
        <v>1123</v>
      </c>
      <c r="F61" s="916"/>
      <c r="G61" s="770" t="s">
        <v>1124</v>
      </c>
      <c r="H61" s="814" t="str">
        <f t="shared" si="1"/>
        <v/>
      </c>
    </row>
    <row r="62" spans="1:10" ht="21" hidden="1" customHeight="1">
      <c r="A62" s="1783"/>
      <c r="B62" s="1759"/>
      <c r="C62" s="807" t="s">
        <v>64</v>
      </c>
      <c r="D62" s="806"/>
      <c r="E62" s="798" t="s">
        <v>1123</v>
      </c>
      <c r="F62" s="916"/>
      <c r="G62" s="770" t="s">
        <v>1124</v>
      </c>
      <c r="H62" s="814" t="str">
        <f t="shared" si="1"/>
        <v/>
      </c>
    </row>
    <row r="63" spans="1:10" ht="21" hidden="1" customHeight="1">
      <c r="A63" s="1783"/>
      <c r="B63" s="1759"/>
      <c r="C63" s="807" t="s">
        <v>65</v>
      </c>
      <c r="D63" s="806"/>
      <c r="E63" s="798" t="s">
        <v>1123</v>
      </c>
      <c r="F63" s="916"/>
      <c r="G63" s="770" t="s">
        <v>1124</v>
      </c>
      <c r="H63" s="814" t="str">
        <f t="shared" si="1"/>
        <v/>
      </c>
    </row>
    <row r="64" spans="1:10" ht="21" hidden="1" customHeight="1">
      <c r="A64" s="1783"/>
      <c r="B64" s="1760"/>
      <c r="C64" s="808" t="s">
        <v>66</v>
      </c>
      <c r="D64" s="845"/>
      <c r="E64" s="821" t="s">
        <v>1123</v>
      </c>
      <c r="F64" s="846"/>
      <c r="G64" s="829" t="s">
        <v>1124</v>
      </c>
      <c r="H64" s="815" t="str">
        <f t="shared" si="1"/>
        <v/>
      </c>
      <c r="I64" s="887"/>
      <c r="J64" s="888"/>
    </row>
    <row r="65" spans="1:8" ht="21" hidden="1" customHeight="1" thickBot="1">
      <c r="A65" s="1784"/>
      <c r="B65" s="835"/>
      <c r="C65" s="835"/>
      <c r="D65" s="836" t="s">
        <v>1107</v>
      </c>
      <c r="E65" s="837"/>
      <c r="F65" s="836" t="s">
        <v>1125</v>
      </c>
      <c r="G65" s="838"/>
      <c r="H65" s="839">
        <f>SUM(H52:H64)</f>
        <v>0</v>
      </c>
    </row>
  </sheetData>
  <sheetProtection sheet="1"/>
  <mergeCells count="48">
    <mergeCell ref="B7:C7"/>
    <mergeCell ref="D16:G16"/>
    <mergeCell ref="C17:D17"/>
    <mergeCell ref="C14:D14"/>
    <mergeCell ref="D12:G12"/>
    <mergeCell ref="D13:G13"/>
    <mergeCell ref="B15:B17"/>
    <mergeCell ref="D15:G15"/>
    <mergeCell ref="B9:D9"/>
    <mergeCell ref="H26:H27"/>
    <mergeCell ref="A27:B27"/>
    <mergeCell ref="G26:G27"/>
    <mergeCell ref="A51:A65"/>
    <mergeCell ref="B46:B49"/>
    <mergeCell ref="A42:A50"/>
    <mergeCell ref="F28:F29"/>
    <mergeCell ref="G28:G29"/>
    <mergeCell ref="C28:D29"/>
    <mergeCell ref="H28:H29"/>
    <mergeCell ref="C26:D27"/>
    <mergeCell ref="A29:B29"/>
    <mergeCell ref="F24:F25"/>
    <mergeCell ref="A25:B25"/>
    <mergeCell ref="D22:G22"/>
    <mergeCell ref="C23:D23"/>
    <mergeCell ref="B42:B45"/>
    <mergeCell ref="C20:D20"/>
    <mergeCell ref="B8:C8"/>
    <mergeCell ref="B58:B64"/>
    <mergeCell ref="A24:B24"/>
    <mergeCell ref="E24:E25"/>
    <mergeCell ref="B51:B57"/>
    <mergeCell ref="E2:F2"/>
    <mergeCell ref="B18:B20"/>
    <mergeCell ref="D18:G18"/>
    <mergeCell ref="D19:G19"/>
    <mergeCell ref="A28:B28"/>
    <mergeCell ref="G5:H5"/>
    <mergeCell ref="B12:B14"/>
    <mergeCell ref="A5:A6"/>
    <mergeCell ref="B5:D6"/>
    <mergeCell ref="E5:F5"/>
    <mergeCell ref="A26:B26"/>
    <mergeCell ref="F26:F27"/>
    <mergeCell ref="B21:B23"/>
    <mergeCell ref="A12:A17"/>
    <mergeCell ref="A18:A23"/>
    <mergeCell ref="D21:G21"/>
  </mergeCells>
  <phoneticPr fontId="22"/>
  <pageMargins left="0.8" right="0.39" top="1" bottom="1" header="0.51200000000000001" footer="0.51200000000000001"/>
  <pageSetup paperSize="9" fitToHeight="2" orientation="portrait"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indexed="62"/>
    <pageSetUpPr autoPageBreaks="0" fitToPage="1"/>
  </sheetPr>
  <dimension ref="A1:AR106"/>
  <sheetViews>
    <sheetView showGridLines="0" zoomScaleNormal="100" zoomScaleSheetLayoutView="75" workbookViewId="0"/>
  </sheetViews>
  <sheetFormatPr defaultColWidth="10.75" defaultRowHeight="14"/>
  <cols>
    <col min="1" max="1" width="4.5" style="181" customWidth="1"/>
    <col min="2" max="2" width="22.58203125" style="181" customWidth="1"/>
    <col min="3" max="3" width="5.58203125" style="181" customWidth="1"/>
    <col min="4" max="4" width="16.58203125" style="181" customWidth="1"/>
    <col min="5" max="5" width="5.58203125" style="181" customWidth="1"/>
    <col min="6" max="6" width="10.58203125" style="181" customWidth="1"/>
    <col min="7" max="7" width="22.58203125" style="181" customWidth="1"/>
    <col min="8" max="8" width="5.58203125" style="181" customWidth="1"/>
    <col min="9" max="9" width="3.83203125" style="181" customWidth="1"/>
    <col min="10" max="10" width="10.75" style="181" customWidth="1"/>
    <col min="11" max="11" width="14.25" style="181" customWidth="1"/>
    <col min="12" max="12" width="14.58203125" style="181" customWidth="1"/>
    <col min="13" max="13" width="13.83203125" style="181" customWidth="1"/>
    <col min="14" max="14" width="13.33203125" style="181" customWidth="1"/>
    <col min="15" max="15" width="15.5" style="181" customWidth="1"/>
    <col min="16" max="16" width="10.75" style="181" customWidth="1"/>
    <col min="17" max="17" width="13" style="181" customWidth="1"/>
    <col min="18" max="18" width="10.75" style="181" customWidth="1"/>
    <col min="19" max="19" width="11.75" style="181" customWidth="1"/>
    <col min="20" max="20" width="10.75" style="181" customWidth="1"/>
    <col min="21" max="21" width="12.33203125" style="181" customWidth="1"/>
    <col min="22" max="22" width="10.75" style="181" customWidth="1"/>
    <col min="23" max="23" width="12.08203125" style="181" customWidth="1"/>
    <col min="24" max="24" width="11.83203125" style="181" customWidth="1"/>
    <col min="25" max="25" width="11.75" style="181" customWidth="1"/>
    <col min="26" max="26" width="10.75" style="181" customWidth="1"/>
    <col min="27" max="27" width="12.08203125" style="181" customWidth="1"/>
    <col min="28" max="28" width="10.75" style="181" customWidth="1"/>
    <col min="29" max="29" width="12" style="181" customWidth="1"/>
    <col min="30" max="30" width="10.75" style="181" customWidth="1"/>
    <col min="31" max="31" width="14" style="181" customWidth="1"/>
    <col min="32" max="32" width="11.75" style="181" customWidth="1"/>
    <col min="33" max="33" width="12.5" style="181" customWidth="1"/>
    <col min="34" max="16384" width="10.75" style="181"/>
  </cols>
  <sheetData>
    <row r="1" spans="1:33" ht="24" customHeight="1">
      <c r="A1" s="1321"/>
      <c r="B1" s="1321" t="s">
        <v>522</v>
      </c>
      <c r="C1" s="1321"/>
      <c r="D1" s="1321"/>
      <c r="E1" s="1321"/>
      <c r="F1" s="1321"/>
      <c r="G1" s="1321"/>
      <c r="H1" s="1321"/>
      <c r="I1" s="1321"/>
      <c r="J1" s="1321"/>
      <c r="K1" s="1321"/>
      <c r="L1" s="1321"/>
      <c r="M1" s="1321"/>
      <c r="N1" s="1321"/>
      <c r="O1" s="1321"/>
      <c r="P1" s="1321"/>
      <c r="Q1" s="1321"/>
      <c r="R1" s="1321"/>
      <c r="S1" s="1321"/>
      <c r="T1" s="1321"/>
      <c r="U1" s="1321"/>
      <c r="V1" s="1321"/>
      <c r="W1" s="1321"/>
      <c r="X1" s="1321"/>
      <c r="Y1" s="1321"/>
      <c r="Z1" s="1321"/>
      <c r="AA1" s="1321"/>
      <c r="AB1" s="1321"/>
      <c r="AC1" s="1321"/>
    </row>
    <row r="2" spans="1:33" s="155" customFormat="1" ht="24" customHeight="1">
      <c r="A2" s="978"/>
      <c r="B2" s="1855" t="s">
        <v>521</v>
      </c>
      <c r="C2" s="1856"/>
      <c r="D2" s="1856"/>
      <c r="E2" s="1856"/>
      <c r="F2" s="1856"/>
      <c r="G2" s="1856"/>
      <c r="H2" s="1856"/>
      <c r="I2" s="1322"/>
      <c r="J2" s="1322"/>
      <c r="K2" s="1322"/>
      <c r="L2" s="1322" t="s">
        <v>189</v>
      </c>
      <c r="M2" s="1322"/>
      <c r="N2" s="1322"/>
      <c r="O2" s="1322"/>
      <c r="P2" s="1322"/>
      <c r="Q2" s="1322"/>
      <c r="R2" s="1322"/>
      <c r="S2" s="1322"/>
      <c r="T2" s="1322"/>
      <c r="U2" s="1322"/>
      <c r="V2" s="1322"/>
      <c r="W2" s="1322"/>
      <c r="X2" s="1322"/>
      <c r="Y2" s="1322"/>
      <c r="Z2" s="1322"/>
      <c r="AA2" s="1322"/>
      <c r="AB2" s="1322"/>
      <c r="AC2" s="1322"/>
      <c r="AD2" s="154"/>
      <c r="AE2" s="154"/>
      <c r="AF2" s="154"/>
      <c r="AG2" s="154"/>
    </row>
    <row r="3" spans="1:33" s="200" customFormat="1" ht="24" customHeight="1">
      <c r="A3" s="1322"/>
      <c r="B3" s="1322"/>
      <c r="C3" s="1322"/>
      <c r="D3" s="1015"/>
      <c r="E3" s="1015"/>
      <c r="F3" s="1015"/>
      <c r="G3" s="1015"/>
      <c r="H3" s="1015"/>
      <c r="I3" s="1323"/>
      <c r="J3" s="1323"/>
      <c r="K3" s="1324" t="s">
        <v>190</v>
      </c>
      <c r="L3" s="1325" t="s">
        <v>191</v>
      </c>
      <c r="M3" s="1326" t="s">
        <v>169</v>
      </c>
      <c r="N3" s="1325" t="s">
        <v>192</v>
      </c>
      <c r="O3" s="1326" t="s">
        <v>193</v>
      </c>
      <c r="P3" s="1325" t="s">
        <v>194</v>
      </c>
      <c r="Q3" s="1326" t="s">
        <v>195</v>
      </c>
      <c r="R3" s="1325" t="s">
        <v>196</v>
      </c>
      <c r="S3" s="1326" t="s">
        <v>197</v>
      </c>
      <c r="T3" s="1325" t="s">
        <v>198</v>
      </c>
      <c r="U3" s="1326" t="s">
        <v>199</v>
      </c>
      <c r="V3" s="1325" t="s">
        <v>200</v>
      </c>
      <c r="W3" s="1326" t="s">
        <v>201</v>
      </c>
      <c r="X3" s="1325" t="s">
        <v>202</v>
      </c>
      <c r="Y3" s="1326" t="s">
        <v>203</v>
      </c>
      <c r="Z3" s="1325" t="s">
        <v>204</v>
      </c>
      <c r="AA3" s="1326" t="s">
        <v>205</v>
      </c>
      <c r="AB3" s="1325" t="s">
        <v>206</v>
      </c>
      <c r="AC3" s="1326" t="s">
        <v>207</v>
      </c>
      <c r="AD3" s="197"/>
      <c r="AE3" s="199"/>
      <c r="AF3" s="199"/>
      <c r="AG3" s="199"/>
    </row>
    <row r="4" spans="1:33" s="200" customFormat="1" ht="24" customHeight="1" thickBot="1">
      <c r="A4" s="1323"/>
      <c r="B4" s="1813" t="s">
        <v>690</v>
      </c>
      <c r="C4" s="1857"/>
      <c r="D4" s="1857"/>
      <c r="E4" s="1857"/>
      <c r="F4" s="1857"/>
      <c r="G4" s="1857"/>
      <c r="H4" s="1857"/>
      <c r="I4" s="1323"/>
      <c r="J4" s="1323"/>
      <c r="K4" s="1324" t="s">
        <v>208</v>
      </c>
      <c r="L4" s="1483">
        <f>IF(基本入力!D29&lt;1,係数!S49,IF(基本入力!D29&lt;8,ROUND(係数!S49*(係数!S49*100)^(基本入力!D29-1),4),AE12))</f>
        <v>1.2E-2</v>
      </c>
      <c r="M4" s="1327">
        <f>投資額!T22</f>
        <v>2917950</v>
      </c>
      <c r="N4" s="1324">
        <f>IF(基本入力!H29&lt;1,係数!S49,IF(基本入力!H29&lt;8,ROUND(係数!S49*(係数!S49*100)^(基本入力!H29-1),4),AE12))</f>
        <v>1.2E-2</v>
      </c>
      <c r="O4" s="1327">
        <f>投資額!U22</f>
        <v>0</v>
      </c>
      <c r="P4" s="1324">
        <f>IF(基本入力!K29&lt;1,係数!S49,IF(基本入力!K29&lt;8,ROUND(係数!S49*(係数!S49*100)^(基本入力!K29-1),4),AE12))</f>
        <v>1.2E-2</v>
      </c>
      <c r="Q4" s="1327">
        <f>投資額!V22</f>
        <v>0</v>
      </c>
      <c r="R4" s="1324">
        <f>IF(基本入力!N29&lt;1,係数!S49,IF(基本入力!N29&lt;8,ROUND(係数!S49*(係数!S49*100)^(基本入力!N29-1),4),AE12))</f>
        <v>1.2E-2</v>
      </c>
      <c r="S4" s="1327">
        <f>投資額!W22</f>
        <v>0</v>
      </c>
      <c r="T4" s="1324">
        <f>IF(基本入力!Q29&lt;1,係数!S49,IF(基本入力!Q29&lt;8,ROUND(係数!S49*(係数!S49*100)^(基本入力!Q29-1),4),AE12))</f>
        <v>1.2E-2</v>
      </c>
      <c r="U4" s="1327">
        <f>投資額!X22</f>
        <v>0</v>
      </c>
      <c r="V4" s="1324">
        <f>IF(基本入力!T29&lt;1,係数!S49,IF(基本入力!T29&lt;8,ROUND(係数!S49*(係数!S49*100)^(基本入力!T29-1),4),AE12))</f>
        <v>1.2E-2</v>
      </c>
      <c r="W4" s="1327">
        <f>投資額!Y22</f>
        <v>0</v>
      </c>
      <c r="X4" s="1324">
        <f>IF(基本入力!W29&lt;1,係数!S49,IF(基本入力!W29&lt;8,ROUND(係数!S49*(係数!S49*100)^(基本入力!W29-1),4),AE12))</f>
        <v>1.2E-2</v>
      </c>
      <c r="Y4" s="1327">
        <f>投資額!Z22</f>
        <v>0</v>
      </c>
      <c r="Z4" s="1324">
        <f>IF(基本入力!Z29&lt;1,係数!S49,IF(基本入力!Z29&lt;8,ROUND(係数!S49*(係数!S49*100)^(基本入力!Z29-1),4),AE12))</f>
        <v>1.2E-2</v>
      </c>
      <c r="AA4" s="1327">
        <f>投資額!AA22</f>
        <v>0</v>
      </c>
      <c r="AB4" s="1324">
        <f>IF(基本入力!AC29&lt;1,係数!S49,IF(基本入力!AC29&lt;8,ROUND(係数!S49*(係数!S49*100)^(基本入力!AC29-1),4),AE12))</f>
        <v>1.2E-2</v>
      </c>
      <c r="AC4" s="1328">
        <f>投資額!AB22</f>
        <v>0</v>
      </c>
      <c r="AD4" s="197"/>
      <c r="AE4" s="198" t="s">
        <v>542</v>
      </c>
      <c r="AF4" s="198"/>
      <c r="AG4" s="198"/>
    </row>
    <row r="5" spans="1:33" s="200" customFormat="1" ht="24" customHeight="1">
      <c r="A5" s="1323"/>
      <c r="B5" s="1814" t="s">
        <v>686</v>
      </c>
      <c r="C5" s="1809"/>
      <c r="D5" s="1809"/>
      <c r="E5" s="1809"/>
      <c r="F5" s="1809"/>
      <c r="G5" s="1809"/>
      <c r="H5" s="1810"/>
      <c r="I5" s="1016"/>
      <c r="J5" s="1016"/>
      <c r="K5" s="1324" t="s">
        <v>209</v>
      </c>
      <c r="L5" s="1324">
        <f>IF(基本入力!D30&lt;1,係数!S49,IF(基本入力!D30&lt;8,ROUND(係数!S49*(係数!S49*100)^(基本入力!D30-1),4),AE12))</f>
        <v>1.2E-2</v>
      </c>
      <c r="M5" s="1327">
        <f>投資額!T24</f>
        <v>1232350</v>
      </c>
      <c r="N5" s="1324">
        <f>IF(基本入力!H30&lt;1,係数!S49,IF(基本入力!H30&lt;8,ROUND(係数!S49*(係数!S49*100)^(基本入力!H30-1),4),AE12))</f>
        <v>1.2E-2</v>
      </c>
      <c r="O5" s="1327">
        <f>投資額!U24</f>
        <v>0</v>
      </c>
      <c r="P5" s="1324">
        <f>IF(基本入力!K30&lt;1,係数!S49,IF(基本入力!K30&lt;8,ROUND(係数!S49*(係数!S49*100)^(基本入力!K30-1),4),AE12))</f>
        <v>1.2E-2</v>
      </c>
      <c r="Q5" s="1327">
        <f>投資額!V24</f>
        <v>0</v>
      </c>
      <c r="R5" s="1324">
        <f>IF(基本入力!N30&lt;1,係数!S49,IF(基本入力!N30&lt;8,ROUND(係数!S49*(係数!S49*100)^(基本入力!N30-1),4),AE12))</f>
        <v>1.2E-2</v>
      </c>
      <c r="S5" s="1327">
        <f>投資額!W24</f>
        <v>0</v>
      </c>
      <c r="T5" s="1324">
        <f>IF(基本入力!Q30&lt;1,係数!S49,IF(基本入力!Q30&lt;8,ROUND(係数!S49*(係数!S49*100)*1.2^(基本入力!Q30-1),4),AE12))</f>
        <v>1.2E-2</v>
      </c>
      <c r="U5" s="1327">
        <f>投資額!X24</f>
        <v>0</v>
      </c>
      <c r="V5" s="1324">
        <f>IF(基本入力!T30&lt;1,係数!S49,IF(基本入力!T30&lt;8,ROUND(係数!S49*(係数!S49*100)^(基本入力!T30-1),4),AE12))</f>
        <v>1.2E-2</v>
      </c>
      <c r="W5" s="1327">
        <f>投資額!Y24</f>
        <v>0</v>
      </c>
      <c r="X5" s="1324">
        <f>IF(基本入力!W30&lt;1,係数!S49,IF(基本入力!W30&lt;8,ROUND(係数!S49*(係数!S49*100)^(基本入力!W30-1),4),AE12))</f>
        <v>1.2E-2</v>
      </c>
      <c r="Y5" s="1327">
        <f>投資額!Z24</f>
        <v>0</v>
      </c>
      <c r="Z5" s="1324">
        <f>IF(基本入力!Z30&lt;1,係数!S49,IF(基本入力!Z30&lt;8,ROUND(係数!S49*(係数!S49*100)^(基本入力!Z30-1),4),AE12))</f>
        <v>1.2E-2</v>
      </c>
      <c r="AA5" s="1327">
        <f>投資額!AA24</f>
        <v>0</v>
      </c>
      <c r="AB5" s="1324">
        <f>IF(基本入力!AC30&lt;1,係数!S49,IF(基本入力!AC30&lt;8,ROUND(係数!S49*(係数!S49*100)^(基本入力!AC30-1),4),AE12))</f>
        <v>1.2E-2</v>
      </c>
      <c r="AC5" s="1328">
        <f>投資額!AB24</f>
        <v>0</v>
      </c>
      <c r="AD5" s="197"/>
      <c r="AE5" s="1420">
        <f>係数!S49</f>
        <v>1.2E-2</v>
      </c>
      <c r="AF5" s="197"/>
      <c r="AG5" s="197"/>
    </row>
    <row r="6" spans="1:33" ht="24" customHeight="1" thickBot="1">
      <c r="A6" s="978"/>
      <c r="B6" s="1329">
        <f>投資額!G6</f>
        <v>38514</v>
      </c>
      <c r="C6" s="449" t="s">
        <v>732</v>
      </c>
      <c r="D6" s="1858">
        <f>IF(基本入力!J5=47,係数!V31,IF(OR(基本入力!J5&lt;=3,基本入力!J5=5),係数!V29,係数!V33))</f>
        <v>0.48799999999999999</v>
      </c>
      <c r="E6" s="1859"/>
      <c r="F6" s="449" t="s">
        <v>733</v>
      </c>
      <c r="G6" s="1330">
        <f>ROUND(B6/D6,2)</f>
        <v>78922.13</v>
      </c>
      <c r="H6" s="1331" t="s">
        <v>210</v>
      </c>
      <c r="I6" s="1335"/>
      <c r="J6" s="1335"/>
      <c r="K6" s="1324" t="s">
        <v>540</v>
      </c>
      <c r="L6" s="1324">
        <f>IF(基本入力!D31&lt;1,係数!S49,IF(基本入力!D31&lt;8,ROUND(係数!S49*(係数!S49*100)^(基本入力!D31-1),4),AE12))</f>
        <v>1.2E-2</v>
      </c>
      <c r="M6" s="975">
        <f>投資額!T25</f>
        <v>5091100</v>
      </c>
      <c r="N6" s="1324">
        <f>IF(基本入力!H31&lt;1,係数!S49,IF(基本入力!H31&lt;8,ROUND(係数!S49*(係数!S49*100)^(基本入力!H31-1),4),AE12))</f>
        <v>1.2E-2</v>
      </c>
      <c r="O6" s="975">
        <f>投資額!U25</f>
        <v>0</v>
      </c>
      <c r="P6" s="1324">
        <f>IF(基本入力!K31&lt;1,係数!S49,IF(基本入力!K31&lt;8,ROUND(係数!S49*(係数!S49*100)^(基本入力!K31-1),4),AE12))</f>
        <v>1.2E-2</v>
      </c>
      <c r="Q6" s="975">
        <f>投資額!V25</f>
        <v>0</v>
      </c>
      <c r="R6" s="1324">
        <f>IF(基本入力!N31&lt;1,係数!S49,IF(基本入力!N31&lt;8,ROUND(係数!S49*(係数!S49*100)^(基本入力!N31-1),4),AE12))</f>
        <v>1.2E-2</v>
      </c>
      <c r="S6" s="975">
        <f>投資額!W25</f>
        <v>0</v>
      </c>
      <c r="T6" s="1324">
        <f>IF(基本入力!Q31&lt;1,係数!S49,IF(基本入力!Q31&lt;8,ROUND(係数!S49*(係数!S49*100)*1.2^(基本入力!Q31-1),4),AE12))</f>
        <v>1.2E-2</v>
      </c>
      <c r="U6" s="975">
        <f>投資額!X25</f>
        <v>0</v>
      </c>
      <c r="V6" s="1324">
        <f>IF(基本入力!T31&lt;1,係数!S49,IF(基本入力!T31&lt;8,ROUND(係数!S49*(係数!S49*100)^(基本入力!T31-1),4),AE12))</f>
        <v>1.2E-2</v>
      </c>
      <c r="W6" s="975">
        <f>投資額!Y25</f>
        <v>0</v>
      </c>
      <c r="X6" s="1324">
        <f>IF(基本入力!W31&lt;1,係数!S49,IF(基本入力!W31&lt;8,ROUND(係数!S49*(係数!S49*100)^(基本入力!W31-1),4),AE12))</f>
        <v>1.2E-2</v>
      </c>
      <c r="Y6" s="975">
        <f>投資額!Z25</f>
        <v>0</v>
      </c>
      <c r="Z6" s="1324">
        <f>IF(基本入力!Z31&lt;1,係数!S49,IF(基本入力!Z31&lt;8,ROUND(係数!S49*(係数!S49*100)^(基本入力!Z31-1),4),AE12))</f>
        <v>1.2E-2</v>
      </c>
      <c r="AA6" s="975">
        <f>投資額!AA25</f>
        <v>0</v>
      </c>
      <c r="AB6" s="1324">
        <f>IF(基本入力!AC31&lt;1,係数!S49,IF(基本入力!AC31&lt;8,ROUND(係数!S49*(係数!S49*100)^(基本入力!AC31-1),4),AE12))</f>
        <v>1.2E-2</v>
      </c>
      <c r="AC6" s="1419">
        <f>投資額!AB25</f>
        <v>0</v>
      </c>
      <c r="AD6" s="153"/>
      <c r="AE6" s="1420">
        <f>ROUND($AE$5*(係数!S49*100)^1,4)</f>
        <v>1.44E-2</v>
      </c>
      <c r="AF6" s="153"/>
      <c r="AG6" s="153"/>
    </row>
    <row r="7" spans="1:33" s="200" customFormat="1" ht="24" customHeight="1" thickBot="1">
      <c r="A7" s="1323"/>
      <c r="B7" s="1332"/>
      <c r="C7" s="1012"/>
      <c r="D7" s="1333"/>
      <c r="E7" s="1333"/>
      <c r="F7" s="1012"/>
      <c r="G7" s="1334"/>
      <c r="H7" s="1012"/>
      <c r="I7" s="1016"/>
      <c r="J7" s="1016"/>
      <c r="K7" s="1324" t="s">
        <v>211</v>
      </c>
      <c r="L7" s="1324">
        <f>IF(基本入力!D32&lt;1,係数!S49,IF(基本入力!D32&lt;8,ROUND(係数!S49*(係数!S49*100)^(基本入力!D32-1),4),AE12))</f>
        <v>1.2E-2</v>
      </c>
      <c r="M7" s="1327">
        <f>投資額!T26</f>
        <v>2611700</v>
      </c>
      <c r="N7" s="1324">
        <f>IF(基本入力!H32&lt;1,係数!S49,IF(基本入力!H32&lt;8,ROUND(係数!S49*(係数!S49*100)^(基本入力!H32-1),4),AE12))</f>
        <v>1.2E-2</v>
      </c>
      <c r="O7" s="1327">
        <f>投資額!U26</f>
        <v>0</v>
      </c>
      <c r="P7" s="1324">
        <f>IF(基本入力!K32&lt;1,係数!S49,IF(基本入力!K32&lt;8,ROUND(係数!S49*(係数!S49*100)^(基本入力!K32-1),4),AE12))</f>
        <v>1.2E-2</v>
      </c>
      <c r="Q7" s="1327">
        <f>投資額!V26</f>
        <v>0</v>
      </c>
      <c r="R7" s="1324">
        <f>IF(基本入力!N32&lt;1,係数!S49,IF(基本入力!N32&lt;8,ROUND(係数!S49*(係数!S49*100)^(基本入力!N32-1),4),AE12))</f>
        <v>1.2E-2</v>
      </c>
      <c r="S7" s="1327">
        <f>投資額!W26</f>
        <v>0</v>
      </c>
      <c r="T7" s="1324">
        <f>IF(基本入力!Q32&lt;1,係数!S49,IF(基本入力!Q32&lt;8,ROUND(係数!S49*(係数!S49*100)^(基本入力!Q32-1),4),AE12))</f>
        <v>1.2E-2</v>
      </c>
      <c r="U7" s="1327">
        <f>投資額!X26</f>
        <v>0</v>
      </c>
      <c r="V7" s="1324">
        <f>IF(基本入力!T32&lt;1,係数!S49,IF(基本入力!T32&lt;8,ROUND(係数!S49*(係数!S49*100)^(基本入力!T32-1),4),AE12))</f>
        <v>1.2E-2</v>
      </c>
      <c r="W7" s="1327">
        <f>投資額!Y26</f>
        <v>0</v>
      </c>
      <c r="X7" s="1324">
        <f>IF(基本入力!W32&lt;1,係数!S49,IF(基本入力!W32&lt;8,ROUND(係数!S49*(係数!S49*100)^(基本入力!W32-1),4),AE12))</f>
        <v>1.2E-2</v>
      </c>
      <c r="Y7" s="1327">
        <f>投資額!Z26</f>
        <v>0</v>
      </c>
      <c r="Z7" s="1324">
        <f>IF(基本入力!Z32&lt;1,係数!S49,IF(基本入力!Z32&lt;8,ROUND(係数!S49*(係数!S49*100)^(基本入力!Z32-1),4),AE12))</f>
        <v>1.2E-2</v>
      </c>
      <c r="AA7" s="1327">
        <f>投資額!AA26</f>
        <v>0</v>
      </c>
      <c r="AB7" s="1324">
        <f>IF(基本入力!AC32&lt;1,係数!S49,IF(基本入力!AC32&lt;8,ROUND(係数!S49*(係数!S49*100)^(基本入力!AC32-1),4),AE12))</f>
        <v>1.2E-2</v>
      </c>
      <c r="AC7" s="1328">
        <f>投資額!AB26</f>
        <v>0</v>
      </c>
      <c r="AD7" s="197"/>
      <c r="AE7" s="1420">
        <f>ROUND($AE$5*(係数!S49*100)^2,4)</f>
        <v>1.7299999999999999E-2</v>
      </c>
      <c r="AF7" s="197"/>
      <c r="AG7" s="197"/>
    </row>
    <row r="8" spans="1:33" s="200" customFormat="1" ht="24" customHeight="1">
      <c r="A8" s="1323"/>
      <c r="B8" s="1814" t="s">
        <v>685</v>
      </c>
      <c r="C8" s="1809"/>
      <c r="D8" s="1809"/>
      <c r="E8" s="1809"/>
      <c r="F8" s="1809"/>
      <c r="G8" s="1809"/>
      <c r="H8" s="1810"/>
      <c r="I8" s="1016"/>
      <c r="J8" s="1016"/>
      <c r="K8" s="1324" t="s">
        <v>212</v>
      </c>
      <c r="L8" s="1324">
        <f>IF(基本入力!D33&lt;1,係数!S49,IF(基本入力!D33&lt;8,ROUND(係数!S49*(係数!S49*100)^(基本入力!D33-1),4),AE12))</f>
        <v>1.2E-2</v>
      </c>
      <c r="M8" s="1327">
        <f>投資額!T27</f>
        <v>737450</v>
      </c>
      <c r="N8" s="1324">
        <f>IF(基本入力!H33&lt;1,係数!S49,IF(基本入力!H33&lt;8,ROUND(係数!S49*(係数!S49*100)^(基本入力!H33-1),4),AE12))</f>
        <v>1.2E-2</v>
      </c>
      <c r="O8" s="1327">
        <f>投資額!U27</f>
        <v>0</v>
      </c>
      <c r="P8" s="1324">
        <f>IF(基本入力!K33&lt;1,係数!S49,IF(基本入力!K33&lt;8,ROUND(係数!S49*(係数!S49*100)^(基本入力!K33-1),4),AE12))</f>
        <v>1.2E-2</v>
      </c>
      <c r="Q8" s="1327">
        <f>投資額!V27</f>
        <v>0</v>
      </c>
      <c r="R8" s="1324">
        <f>IF(基本入力!N33&lt;1,係数!S49,IF(基本入力!N33&lt;8,ROUND(係数!S49*(係数!S49*100)^(基本入力!N33-1),4),AE12))</f>
        <v>1.2E-2</v>
      </c>
      <c r="S8" s="1327">
        <f>投資額!W27</f>
        <v>0</v>
      </c>
      <c r="T8" s="1324">
        <f>IF(基本入力!Q33&lt;1,係数!S49,IF(基本入力!Q33&lt;8,ROUND(係数!S49*(係数!S49*100)^(基本入力!Q33-1),4),AE12))</f>
        <v>1.2E-2</v>
      </c>
      <c r="U8" s="1327">
        <f>投資額!X27</f>
        <v>0</v>
      </c>
      <c r="V8" s="1324">
        <f>IF(基本入力!T33&lt;1,係数!S49,IF(基本入力!T33&lt;8,ROUND(係数!S49*(係数!S49*100)^(基本入力!T33-1),4),AE12))</f>
        <v>1.2E-2</v>
      </c>
      <c r="W8" s="1327">
        <f>投資額!Y27</f>
        <v>0</v>
      </c>
      <c r="X8" s="1324">
        <f>IF(基本入力!W33&lt;1,係数!S49,IF(基本入力!W33&lt;8,ROUND(係数!S49*(係数!S49*100)^(基本入力!W33-1),4),AE12))</f>
        <v>1.2E-2</v>
      </c>
      <c r="Y8" s="1327">
        <f>投資額!Z27</f>
        <v>0</v>
      </c>
      <c r="Z8" s="1324">
        <f>IF(基本入力!Z33&lt;1,係数!S49,IF(基本入力!Z33&lt;8,ROUND(係数!S49*(係数!S49*100)^(基本入力!Z33-1),4),AE12))</f>
        <v>1.2E-2</v>
      </c>
      <c r="AA8" s="1327">
        <f>投資額!AA27</f>
        <v>0</v>
      </c>
      <c r="AB8" s="1324">
        <f>IF(基本入力!AC33&lt;1,係数!S49,IF(基本入力!AC33&lt;8,ROUND(係数!S49*(係数!S49*100)^(基本入力!AC33-1),4),AE12))</f>
        <v>1.2E-2</v>
      </c>
      <c r="AC8" s="1328">
        <f>投資額!AB27</f>
        <v>0</v>
      </c>
      <c r="AD8" s="197"/>
      <c r="AE8" s="1420">
        <f>ROUND($AE$5*(係数!S49*100)^3,4)</f>
        <v>2.07E-2</v>
      </c>
      <c r="AF8" s="197"/>
      <c r="AG8" s="197"/>
    </row>
    <row r="9" spans="1:33" s="200" customFormat="1" ht="24" customHeight="1" thickBot="1">
      <c r="A9" s="1323"/>
      <c r="B9" s="1442">
        <f>基本入力!C10</f>
        <v>100</v>
      </c>
      <c r="C9" s="449" t="s">
        <v>213</v>
      </c>
      <c r="D9" s="1866">
        <f>G6</f>
        <v>78922.13</v>
      </c>
      <c r="E9" s="1867"/>
      <c r="F9" s="449" t="s">
        <v>682</v>
      </c>
      <c r="G9" s="711">
        <f>ROUNDDOWN(ROUND(B9*D9,0)*CHOOSE((基本入力!C7+1),(基本入力!E40+1),1),0)</f>
        <v>7892213</v>
      </c>
      <c r="H9" s="1331" t="s">
        <v>163</v>
      </c>
      <c r="I9" s="1016"/>
      <c r="J9" s="1016">
        <v>1</v>
      </c>
      <c r="K9" s="1015" t="s">
        <v>214</v>
      </c>
      <c r="L9" s="1324">
        <f>IF(基本入力!D13&lt;1,係数!S49,IF(基本入力!D13&lt;8,ROUND(係数!S49*(係数!S49*100)^(基本入力!D13-1),4),AE12))</f>
        <v>1.2E-2</v>
      </c>
      <c r="M9" s="1327">
        <f>投資額!T28</f>
        <v>0</v>
      </c>
      <c r="N9" s="1324">
        <f>IF(基本入力!H13&lt;1,係数!S49,IF(基本入力!H13&lt;8,ROUND(係数!S49*(係数!S49*100)^(基本入力!H13-1),4),AE12))</f>
        <v>1.2E-2</v>
      </c>
      <c r="O9" s="1327">
        <f>投資額!U28</f>
        <v>0</v>
      </c>
      <c r="P9" s="1324">
        <f>IF(基本入力!K13&lt;1,係数!S49,IF(基本入力!K13&lt;8,ROUND(係数!S49*(係数!S49*100)^(基本入力!K13-1),4),AE12))</f>
        <v>1.2E-2</v>
      </c>
      <c r="Q9" s="1327">
        <f>投資額!V28</f>
        <v>0</v>
      </c>
      <c r="R9" s="1324">
        <f>IF(基本入力!N13&lt;1,係数!S49,IF(基本入力!N13&lt;8,ROUND(係数!S49*(係数!S49*100)^(基本入力!N13-1),4),AE12))</f>
        <v>1.2E-2</v>
      </c>
      <c r="S9" s="1327">
        <f>投資額!W28</f>
        <v>0</v>
      </c>
      <c r="T9" s="1324">
        <f>IF(基本入力!Q13&lt;1,係数!S49,IF(基本入力!Q13&lt;8,ROUND(係数!S49*(係数!S49*100)^(基本入力!Q13-1),4),AE12))</f>
        <v>1.2E-2</v>
      </c>
      <c r="U9" s="1327">
        <f>投資額!X28</f>
        <v>0</v>
      </c>
      <c r="V9" s="1324">
        <f>IF(基本入力!T13&lt;1,係数!S49,IF(基本入力!T13&lt;8,ROUND(係数!S49*(係数!S49*100)^(基本入力!T13-1),4),AE12))</f>
        <v>1.2E-2</v>
      </c>
      <c r="W9" s="1327">
        <f>投資額!Y28</f>
        <v>0</v>
      </c>
      <c r="X9" s="1324">
        <f>IF(基本入力!W13&lt;1,係数!S49,IF(基本入力!W13&lt;8,ROUND(係数!S49*(係数!S49*100)^(基本入力!W13-1),4),AE12))</f>
        <v>1.2E-2</v>
      </c>
      <c r="Y9" s="1327">
        <f>投資額!Z28</f>
        <v>0</v>
      </c>
      <c r="Z9" s="1324">
        <f>IF(基本入力!Z13&lt;1,係数!S49,IF(基本入力!Z13&lt;8,ROUND(係数!S49*(係数!S49*100)^(基本入力!Z13-1),4),AE12))</f>
        <v>1.2E-2</v>
      </c>
      <c r="AA9" s="1327">
        <f>投資額!AA28</f>
        <v>0</v>
      </c>
      <c r="AB9" s="1324">
        <f>IF(基本入力!AC13&lt;1,係数!S49,IF(基本入力!AC13&lt;8,ROUND(係数!S49*(係数!S49*100)^(基本入力!AC13-1),4),AE12))</f>
        <v>1.2E-2</v>
      </c>
      <c r="AC9" s="1328">
        <f>投資額!AB28</f>
        <v>0</v>
      </c>
      <c r="AD9" s="197"/>
      <c r="AE9" s="1420">
        <f>ROUND($AE$5*(係数!S49*100)^4,4)</f>
        <v>2.4899999999999999E-2</v>
      </c>
      <c r="AF9" s="197"/>
      <c r="AG9" s="197"/>
    </row>
    <row r="10" spans="1:33" s="200" customFormat="1" ht="24" customHeight="1">
      <c r="A10" s="1323"/>
      <c r="B10" s="1012"/>
      <c r="C10" s="1012"/>
      <c r="D10" s="1012"/>
      <c r="E10" s="1012"/>
      <c r="F10" s="1012"/>
      <c r="G10" s="1012"/>
      <c r="H10" s="1012"/>
      <c r="I10" s="1016"/>
      <c r="J10" s="1323">
        <v>2</v>
      </c>
      <c r="K10" s="1015" t="s">
        <v>214</v>
      </c>
      <c r="L10" s="1324">
        <f>IF(基本入力!D14&lt;1,係数!S49,IF(基本入力!D14&lt;8,ROUND(係数!S49*(係数!S49*100)^(基本入力!D14-1),4),AE12))</f>
        <v>1.2E-2</v>
      </c>
      <c r="M10" s="1327">
        <f>投資額!T29</f>
        <v>0</v>
      </c>
      <c r="N10" s="1324">
        <f>IF(基本入力!H14&lt;1,係数!S49,IF(基本入力!H14&lt;8,ROUND(係数!S49*(係数!S49*100)^(基本入力!H14-1),4),AE12))</f>
        <v>1.2E-2</v>
      </c>
      <c r="O10" s="1327">
        <f>投資額!U29</f>
        <v>0</v>
      </c>
      <c r="P10" s="1324">
        <f>IF(基本入力!K14&lt;1,係数!S49,IF(基本入力!K14&lt;8,ROUND(係数!S49*(係数!S49*100)^(基本入力!K14-1),4),AE12))</f>
        <v>1.2E-2</v>
      </c>
      <c r="Q10" s="1327">
        <f>投資額!V29</f>
        <v>0</v>
      </c>
      <c r="R10" s="1324">
        <f>IF(基本入力!N14&lt;1,係数!S49,IF(基本入力!N14&lt;8,ROUND(係数!S49*(係数!S49*100)^(基本入力!N14-1),4),AE12))</f>
        <v>1.2E-2</v>
      </c>
      <c r="S10" s="1327">
        <f>投資額!W29</f>
        <v>0</v>
      </c>
      <c r="T10" s="1324">
        <f>IF(基本入力!Q14&lt;1,係数!S49,IF(基本入力!Q14&lt;8,ROUND(係数!S49*(係数!S49*100)^(基本入力!Q14-1),4),AE12))</f>
        <v>1.2E-2</v>
      </c>
      <c r="U10" s="1327">
        <f>投資額!X29</f>
        <v>0</v>
      </c>
      <c r="V10" s="1324">
        <f>IF(基本入力!T14&lt;1,係数!S49,IF(基本入力!T14&lt;8,ROUND(係数!S49*(係数!S49*100)^(基本入力!T14-1),4),AE12))</f>
        <v>1.2E-2</v>
      </c>
      <c r="W10" s="1327">
        <f>投資額!Y29</f>
        <v>0</v>
      </c>
      <c r="X10" s="1324">
        <f>IF(基本入力!W14&lt;1,係数!S49,IF(基本入力!W14&lt;8,ROUND(係数!S49*(係数!S49*100)^(基本入力!W14-1),4),AE12))</f>
        <v>1.2E-2</v>
      </c>
      <c r="Y10" s="1327">
        <f>投資額!Z29</f>
        <v>0</v>
      </c>
      <c r="Z10" s="1324">
        <f>IF(基本入力!Z14&lt;1,係数!S49,IF(基本入力!Z14&lt;8,ROUND(係数!S49*(係数!S49*100)^(基本入力!Z14-1),4),AE12))</f>
        <v>1.2E-2</v>
      </c>
      <c r="AA10" s="1327">
        <f>投資額!AA29</f>
        <v>0</v>
      </c>
      <c r="AB10" s="1324">
        <f>IF(基本入力!AC14&lt;1,係数!S49,IF(基本入力!AC14&lt;8,ROUND(係数!S49*(係数!S49*100)^(基本入力!AC14-1),4),AE12))</f>
        <v>1.2E-2</v>
      </c>
      <c r="AC10" s="1328">
        <f>投資額!AB29</f>
        <v>0</v>
      </c>
      <c r="AD10" s="197"/>
      <c r="AE10" s="1420">
        <f>ROUND($AE$5*(係数!S49*100)^5,4)</f>
        <v>2.9899999999999999E-2</v>
      </c>
      <c r="AF10" s="197"/>
      <c r="AG10" s="197"/>
    </row>
    <row r="11" spans="1:33" s="200" customFormat="1" ht="24" customHeight="1" thickBot="1">
      <c r="A11" s="1323"/>
      <c r="B11" s="1813" t="s">
        <v>734</v>
      </c>
      <c r="C11" s="1857"/>
      <c r="D11" s="1857"/>
      <c r="E11" s="1857"/>
      <c r="F11" s="1857"/>
      <c r="G11" s="1857"/>
      <c r="H11" s="1857"/>
      <c r="I11" s="1016"/>
      <c r="J11" s="1323">
        <v>3</v>
      </c>
      <c r="K11" s="1015" t="s">
        <v>214</v>
      </c>
      <c r="L11" s="1324">
        <f>IF(基本入力!D15&lt;1,係数!S49,IF(基本入力!D15&lt;8,ROUND(係数!S49*(係数!S49*100)^(基本入力!D15-1),4),AE12))</f>
        <v>1.2E-2</v>
      </c>
      <c r="M11" s="1327">
        <f>投資額!T30</f>
        <v>0</v>
      </c>
      <c r="N11" s="1324">
        <f>IF(基本入力!H15&lt;1,係数!S49,IF(基本入力!H15&lt;8,ROUND(係数!S49*(係数!S49*100)^(基本入力!H15-1),4),AE12))</f>
        <v>1.2E-2</v>
      </c>
      <c r="O11" s="1327">
        <f>投資額!U30</f>
        <v>0</v>
      </c>
      <c r="P11" s="1324">
        <f>IF(基本入力!K15&lt;1,係数!S49,IF(基本入力!K15&lt;8,ROUND(係数!S49*(係数!S49*100)^(基本入力!K15-1),4),AE12))</f>
        <v>1.2E-2</v>
      </c>
      <c r="Q11" s="1327">
        <f>投資額!V30</f>
        <v>0</v>
      </c>
      <c r="R11" s="1324">
        <f>IF(基本入力!N15&lt;1,係数!S49,IF(基本入力!N15&lt;8,ROUND(係数!S49*(係数!S49*100)^(基本入力!N15-1),4),AE12))</f>
        <v>1.2E-2</v>
      </c>
      <c r="S11" s="1327">
        <f>投資額!W30</f>
        <v>0</v>
      </c>
      <c r="T11" s="1324">
        <f>IF(基本入力!Q15&lt;1,係数!S49,IF(基本入力!Q15&lt;8,ROUND(係数!S49*(係数!S49*100)^(基本入力!Q15-1),4),AE12))</f>
        <v>1.2E-2</v>
      </c>
      <c r="U11" s="1327">
        <f>投資額!X30</f>
        <v>0</v>
      </c>
      <c r="V11" s="1324">
        <f>IF(基本入力!T15&lt;1,係数!S49,IF(基本入力!T15&lt;8,ROUND(係数!S49*(係数!S49*100)^(基本入力!T15-1),4),AE12))</f>
        <v>1.2E-2</v>
      </c>
      <c r="W11" s="1327">
        <f>投資額!Y30</f>
        <v>0</v>
      </c>
      <c r="X11" s="1324">
        <f>IF(基本入力!W15&lt;1,係数!S49,IF(基本入力!W15&lt;8,ROUND(係数!S49*(係数!S49*100)^(基本入力!W15-1),4),AE12))</f>
        <v>1.2E-2</v>
      </c>
      <c r="Y11" s="1327">
        <f>投資額!Z30</f>
        <v>0</v>
      </c>
      <c r="Z11" s="1324">
        <f>IF(基本入力!Z15&lt;1,係数!S49,IF(基本入力!Z15&lt;8,ROUND(係数!S49*(係数!S49*100)^(基本入力!Z15-1),4),AE12))</f>
        <v>1.2E-2</v>
      </c>
      <c r="AA11" s="1327">
        <f>投資額!AA30</f>
        <v>0</v>
      </c>
      <c r="AB11" s="1324">
        <f>IF(基本入力!AC15&lt;1,係数!S49,IF(基本入力!AC15&lt;8,ROUND(係数!S49*(係数!S49*100)^(基本入力!AC15-1),4),AE12))</f>
        <v>1.2E-2</v>
      </c>
      <c r="AC11" s="1328">
        <f>投資額!AB30</f>
        <v>0</v>
      </c>
      <c r="AD11" s="197"/>
      <c r="AE11" s="1420">
        <f>ROUND($AE$5*(係数!S49*100)^6,4)</f>
        <v>3.5799999999999998E-2</v>
      </c>
      <c r="AF11" s="197"/>
      <c r="AG11" s="197"/>
    </row>
    <row r="12" spans="1:33" s="200" customFormat="1" ht="24" customHeight="1">
      <c r="A12" s="1323"/>
      <c r="B12" s="1814" t="s">
        <v>691</v>
      </c>
      <c r="C12" s="1809"/>
      <c r="D12" s="1809"/>
      <c r="E12" s="1809"/>
      <c r="F12" s="1809"/>
      <c r="G12" s="1809"/>
      <c r="H12" s="1810"/>
      <c r="I12" s="1016"/>
      <c r="J12" s="1016">
        <v>4</v>
      </c>
      <c r="K12" s="1015" t="s">
        <v>214</v>
      </c>
      <c r="L12" s="1324">
        <f>IF(基本入力!D16&lt;1,係数!S49,IF(基本入力!D16&lt;8,ROUND(係数!S49*(係数!S49*100)^(基本入力!D16-1),4),AE12))</f>
        <v>1.2E-2</v>
      </c>
      <c r="M12" s="1327">
        <f>投資額!T31</f>
        <v>30301600</v>
      </c>
      <c r="N12" s="1324">
        <f>IF(基本入力!H16&lt;1,係数!S49,IF(基本入力!H16&lt;8,ROUND(係数!S49*(係数!S49*100)^(基本入力!H16-1),4),AE12))</f>
        <v>1.2E-2</v>
      </c>
      <c r="O12" s="1327">
        <f>投資額!U31</f>
        <v>0</v>
      </c>
      <c r="P12" s="1324">
        <f>IF(基本入力!K16&lt;1,係数!S49,IF(基本入力!K16&lt;8,ROUND(係数!S49*(係数!S49*100)^(基本入力!K16-1),4),AE12))</f>
        <v>1.2E-2</v>
      </c>
      <c r="Q12" s="1327">
        <f>投資額!V31</f>
        <v>0</v>
      </c>
      <c r="R12" s="1324">
        <f>IF(基本入力!N16&lt;1,係数!S49,IF(基本入力!N16&lt;8,ROUND(係数!S49*(係数!S49*100)^(基本入力!N16-1),4),AE12))</f>
        <v>1.2E-2</v>
      </c>
      <c r="S12" s="1327">
        <f>投資額!W31</f>
        <v>0</v>
      </c>
      <c r="T12" s="1324">
        <f>IF(基本入力!Q16&lt;1,係数!S49,IF(基本入力!Q16&lt;8,ROUND(係数!S49*(係数!S49*100)^(基本入力!Q16-1),4),AE12))</f>
        <v>1.2E-2</v>
      </c>
      <c r="U12" s="1327">
        <f>投資額!X31</f>
        <v>0</v>
      </c>
      <c r="V12" s="1324">
        <f>IF(基本入力!T16&lt;1,係数!S49,IF(基本入力!T16&lt;8,ROUND(係数!S49*(係数!S49*100)^(基本入力!T16-1),4),AE12))</f>
        <v>1.2E-2</v>
      </c>
      <c r="W12" s="1327">
        <f>投資額!Y31</f>
        <v>0</v>
      </c>
      <c r="X12" s="1324">
        <f>IF(基本入力!W16&lt;1,係数!S49,IF(基本入力!W16&lt;8,ROUND(係数!S49*(係数!S49*100)^(基本入力!W16-1),4),AE12))</f>
        <v>1.2E-2</v>
      </c>
      <c r="Y12" s="1327">
        <f>投資額!Z31</f>
        <v>0</v>
      </c>
      <c r="Z12" s="1324">
        <f>IF(基本入力!Z16&lt;1,係数!S49,IF(基本入力!Z16&lt;8,ROUND(係数!S49*(係数!S49*100)^(基本入力!Z16-1),4),AE12))</f>
        <v>1.2E-2</v>
      </c>
      <c r="AA12" s="1327">
        <f>投資額!AA31</f>
        <v>0</v>
      </c>
      <c r="AB12" s="1324">
        <f>IF(基本入力!AC16&lt;1,係数!S49,IF(基本入力!AC16&lt;8,ROUND(係数!S49*(係数!S49*100)^(基本入力!AC16-1),4),AE12))</f>
        <v>1.2E-2</v>
      </c>
      <c r="AC12" s="1328">
        <f>投資額!AB31</f>
        <v>0</v>
      </c>
      <c r="AD12" s="197"/>
      <c r="AE12" s="1420">
        <f>ROUND($AE$5*(係数!S49*100)^7,3)</f>
        <v>4.2999999999999997E-2</v>
      </c>
      <c r="AF12" s="197"/>
      <c r="AG12" s="197"/>
    </row>
    <row r="13" spans="1:33" s="200" customFormat="1" ht="24" customHeight="1" thickBot="1">
      <c r="A13" s="1323"/>
      <c r="B13" s="712">
        <f>IF(基本入力!C12="",係数!D85,IF(基本入力!C12=2,係数!D86,IF(基本入力!C12=0,係数!D84,係数!D85)))</f>
        <v>3.0999999999999999E-3</v>
      </c>
      <c r="C13" s="449" t="s">
        <v>215</v>
      </c>
      <c r="D13" s="1873">
        <f>SUM(基本入力!C13:C16,基本入力!C56:C57)</f>
        <v>245</v>
      </c>
      <c r="E13" s="1874"/>
      <c r="F13" s="450"/>
      <c r="G13" s="451">
        <f>B13*D13</f>
        <v>0.75949999999999995</v>
      </c>
      <c r="H13" s="1331" t="s">
        <v>215</v>
      </c>
      <c r="I13" s="1016"/>
      <c r="J13" s="1016"/>
      <c r="K13" s="1324" t="s">
        <v>216</v>
      </c>
      <c r="L13" s="1324">
        <f>IF(基本入力!D35&lt;1,係数!S49,IF(基本入力!D35&lt;8,ROUND(係数!S49*(係数!S49*100)^(基本入力!D35-1),4),AE12))</f>
        <v>1.2E-2</v>
      </c>
      <c r="M13" s="1327">
        <f>投資額!T32</f>
        <v>2381400</v>
      </c>
      <c r="N13" s="1324">
        <f>IF(基本入力!H35&lt;1,係数!S49,IF(基本入力!H35&lt;8,ROUND(係数!S49*(係数!S49*100)^(基本入力!H35-1),4),AE12))</f>
        <v>1.2E-2</v>
      </c>
      <c r="O13" s="1327">
        <f>投資額!U32</f>
        <v>0</v>
      </c>
      <c r="P13" s="1324">
        <f>IF(基本入力!K35&lt;1,係数!S49,IF(基本入力!K35&lt;8,ROUND(係数!S49*(係数!S49*100)^(基本入力!K35-1),4),AE12))</f>
        <v>1.2E-2</v>
      </c>
      <c r="Q13" s="1327">
        <f>投資額!V32</f>
        <v>0</v>
      </c>
      <c r="R13" s="1324">
        <f>IF(基本入力!N35&lt;1,係数!S49,IF(基本入力!N35&lt;8,ROUND(係数!S49*(係数!S49*100)^(基本入力!N35-1),4),AE12))</f>
        <v>1.2E-2</v>
      </c>
      <c r="S13" s="1327">
        <f>投資額!W32</f>
        <v>0</v>
      </c>
      <c r="T13" s="1324">
        <f>IF(基本入力!Q35&lt;1,係数!S49,IF(基本入力!Q35&lt;8,ROUND(係数!S49*(係数!S49*100)^(基本入力!Q35-1),4),AE12))</f>
        <v>1.2E-2</v>
      </c>
      <c r="U13" s="1327">
        <f>投資額!X32</f>
        <v>0</v>
      </c>
      <c r="V13" s="1324">
        <f>IF(基本入力!T35&lt;1,係数!S49,IF(基本入力!T35&lt;8,ROUND(係数!S49*(係数!S49*100)^(基本入力!T35-1),4),AE12))</f>
        <v>1.2E-2</v>
      </c>
      <c r="W13" s="1327">
        <f>投資額!Y32</f>
        <v>0</v>
      </c>
      <c r="X13" s="1324">
        <f>IF(基本入力!W35&lt;1,係数!S49,IF(基本入力!W35&lt;8,ROUND(係数!S49*(係数!S49*100)^(基本入力!W35-1),4),AE12))</f>
        <v>1.2E-2</v>
      </c>
      <c r="Y13" s="1327">
        <f>投資額!Z32</f>
        <v>0</v>
      </c>
      <c r="Z13" s="1324">
        <f>IF(基本入力!Z35&lt;1,係数!S49,IF(基本入力!Z35&lt;8,ROUND(係数!S49*(係数!S49*100)^(基本入力!Z35-1),4),AE12))</f>
        <v>1.2E-2</v>
      </c>
      <c r="AA13" s="1327">
        <f>投資額!AA32</f>
        <v>0</v>
      </c>
      <c r="AB13" s="1324">
        <f>IF(基本入力!AC35&lt;1,係数!S49,IF(基本入力!AC35&lt;8,ROUND(係数!S49*(係数!S49*100)^(基本入力!AC35-1),4),AE12))</f>
        <v>1.2E-2</v>
      </c>
      <c r="AC13" s="1328">
        <f>投資額!AB32</f>
        <v>0</v>
      </c>
      <c r="AD13" s="197"/>
      <c r="AE13" s="196"/>
      <c r="AF13" s="197"/>
      <c r="AG13" s="197"/>
    </row>
    <row r="14" spans="1:33" s="200" customFormat="1" ht="24" customHeight="1" thickBot="1">
      <c r="A14" s="1323"/>
      <c r="B14" s="1335"/>
      <c r="C14" s="1012"/>
      <c r="D14" s="1012"/>
      <c r="E14" s="1012"/>
      <c r="F14" s="1012"/>
      <c r="G14" s="1012"/>
      <c r="H14" s="1012"/>
      <c r="I14" s="1016"/>
      <c r="J14" s="1016"/>
      <c r="K14" s="1324" t="s">
        <v>217</v>
      </c>
      <c r="L14" s="1324">
        <f>IF(基本入力!D36&lt;1,係数!S49,IF(基本入力!D36&lt;8,ROUND(係数!S49*(係数!S49*100)^(基本入力!D36-1),4),AE12))</f>
        <v>1.2E-2</v>
      </c>
      <c r="M14" s="1327">
        <f>投資額!T33</f>
        <v>93100</v>
      </c>
      <c r="N14" s="1324">
        <f>IF(基本入力!H36&lt;1,係数!S49,IF(基本入力!H36&lt;8,ROUND(係数!S49*(係数!S49*100)^(基本入力!H36-1),4),AE12))</f>
        <v>1.2E-2</v>
      </c>
      <c r="O14" s="1327">
        <f>投資額!U33</f>
        <v>0</v>
      </c>
      <c r="P14" s="1324">
        <f>IF(基本入力!K36&lt;1,係数!S49,IF(基本入力!K36&lt;8,ROUND(係数!S49*(係数!S49*100)^(基本入力!K36-1),4),AE12))</f>
        <v>1.2E-2</v>
      </c>
      <c r="Q14" s="1327">
        <f>投資額!V33</f>
        <v>0</v>
      </c>
      <c r="R14" s="1324">
        <f>IF(基本入力!N36&lt;1,係数!S49,IF(基本入力!N36&lt;8,ROUND(係数!S49*(係数!S49*100)^(基本入力!N36-1),4),AE12))</f>
        <v>1.2E-2</v>
      </c>
      <c r="S14" s="1327">
        <f>投資額!W33</f>
        <v>0</v>
      </c>
      <c r="T14" s="1324">
        <f>IF(基本入力!Q36&lt;1,係数!S49,IF(基本入力!Q36&lt;8,ROUND(係数!S49*(係数!S49*100)^(基本入力!Q36-1),4),AE12))</f>
        <v>1.2E-2</v>
      </c>
      <c r="U14" s="1327">
        <f>投資額!X33</f>
        <v>0</v>
      </c>
      <c r="V14" s="1324">
        <f>IF(基本入力!T36&lt;1,係数!S49,IF(基本入力!T36&lt;8,ROUND(係数!S49*(係数!S49*100)^(基本入力!T36-1),4),AE12))</f>
        <v>1.2E-2</v>
      </c>
      <c r="W14" s="1327">
        <f>投資額!Y33</f>
        <v>0</v>
      </c>
      <c r="X14" s="1324">
        <f>IF(基本入力!W36&lt;1,係数!S49,IF(基本入力!W36&lt;8,ROUND(係数!S49*(係数!S49*100)^(基本入力!W36-1),4),AE12))</f>
        <v>1.2E-2</v>
      </c>
      <c r="Y14" s="1327">
        <f>投資額!Z33</f>
        <v>0</v>
      </c>
      <c r="Z14" s="1324">
        <f>IF(基本入力!Z36&lt;1,係数!S49,IF(基本入力!Z36&lt;8,ROUND(係数!S49*(係数!S49*100)^(基本入力!Z36-1),4),AE12))</f>
        <v>1.2E-2</v>
      </c>
      <c r="AA14" s="1327">
        <f>投資額!AA33</f>
        <v>0</v>
      </c>
      <c r="AB14" s="1324">
        <f>IF(基本入力!AC36&lt;1,係数!S49,IF(基本入力!AC36&lt;8,ROUND(係数!S49*(係数!S49*100)^(基本入力!AC36-1),4),AE12))</f>
        <v>1.2E-2</v>
      </c>
      <c r="AC14" s="1328">
        <f>投資額!AB33</f>
        <v>0</v>
      </c>
      <c r="AD14" s="197"/>
      <c r="AE14" s="196"/>
      <c r="AF14" s="197"/>
      <c r="AG14" s="197"/>
    </row>
    <row r="15" spans="1:33" s="200" customFormat="1" ht="24" customHeight="1">
      <c r="A15" s="1323"/>
      <c r="B15" s="1814" t="s">
        <v>684</v>
      </c>
      <c r="C15" s="1809"/>
      <c r="D15" s="1809"/>
      <c r="E15" s="1809"/>
      <c r="F15" s="1809"/>
      <c r="G15" s="1809"/>
      <c r="H15" s="1810"/>
      <c r="I15" s="1016"/>
      <c r="J15" s="1016"/>
      <c r="K15" s="1324" t="s">
        <v>218</v>
      </c>
      <c r="L15" s="1324">
        <f>IF(基本入力!D37&lt;1,係数!S49,IF(基本入力!D37&lt;8,ROUND(係数!S49*(係数!S49*100)^(基本入力!D37-1),4),AE12))</f>
        <v>1.2E-2</v>
      </c>
      <c r="M15" s="1327">
        <f>投資額!G34</f>
        <v>2182950</v>
      </c>
      <c r="N15" s="1324">
        <f>IF(基本入力!H37&lt;1,係数!S49,IF(基本入力!H37&lt;8,ROUND(係数!S49*(係数!S49*100)^(基本入力!H37-1),4),AE12))</f>
        <v>1.2E-2</v>
      </c>
      <c r="O15" s="1327">
        <f>投資額!U34</f>
        <v>0</v>
      </c>
      <c r="P15" s="1324">
        <f>IF(基本入力!K37&lt;1,係数!S49,IF(基本入力!K37&lt;8,ROUND(係数!S49*(係数!S49*100)^(基本入力!K37-1),4),AE12))</f>
        <v>1.2E-2</v>
      </c>
      <c r="Q15" s="1327">
        <f>投資額!V34</f>
        <v>0</v>
      </c>
      <c r="R15" s="1324">
        <f>IF(基本入力!N37&lt;1,係数!S49,IF(基本入力!N37&lt;8,ROUND(係数!S49*(係数!S49*100)^(基本入力!N37-1),4),AE12))</f>
        <v>1.2E-2</v>
      </c>
      <c r="S15" s="1327">
        <f>投資額!W34</f>
        <v>0</v>
      </c>
      <c r="T15" s="1324">
        <f>IF(基本入力!Q37&lt;1,係数!S49,IF(基本入力!Q37&lt;8,ROUND(係数!S49*(係数!S49*100)^(基本入力!Q37-1),4),AE12))</f>
        <v>1.2E-2</v>
      </c>
      <c r="U15" s="1327">
        <f>投資額!X34</f>
        <v>0</v>
      </c>
      <c r="V15" s="1324">
        <f>IF(基本入力!T37&lt;1,係数!S49,IF(基本入力!T37&lt;8,ROUND(係数!S49*(係数!S49*100)^(基本入力!T37-1),4),AE12))</f>
        <v>1.2E-2</v>
      </c>
      <c r="W15" s="1327">
        <f>投資額!Y34</f>
        <v>0</v>
      </c>
      <c r="X15" s="1324">
        <f>IF(基本入力!W37&lt;1,係数!S49,IF(基本入力!W37&lt;8,ROUND(係数!S49*(係数!S49*100)^(基本入力!W37-1),4),AE12))</f>
        <v>1.2E-2</v>
      </c>
      <c r="Y15" s="1327">
        <f>投資額!Z34</f>
        <v>0</v>
      </c>
      <c r="Z15" s="1324">
        <f>IF(基本入力!Z37&lt;1,係数!S49,IF(基本入力!Z37&lt;8,ROUND(係数!S49*(係数!S49*100)^(基本入力!Z37-1),4),AE12))</f>
        <v>1.2E-2</v>
      </c>
      <c r="AA15" s="1327">
        <f>投資額!AA34</f>
        <v>0</v>
      </c>
      <c r="AB15" s="1324">
        <f>IF(基本入力!AC37&lt;1,係数!S49,IF(基本入力!AC37&lt;8,ROUND(係数!S49*(係数!S49*100)^(基本入力!AC37-1),4),AE12))</f>
        <v>1.2E-2</v>
      </c>
      <c r="AC15" s="1328">
        <f>投資額!AB34</f>
        <v>0</v>
      </c>
      <c r="AD15" s="197"/>
      <c r="AE15" s="196"/>
      <c r="AF15" s="197"/>
      <c r="AG15" s="197"/>
    </row>
    <row r="16" spans="1:33" s="200" customFormat="1" ht="24" customHeight="1" thickBot="1">
      <c r="A16" s="1323"/>
      <c r="B16" s="1336">
        <f>IF(基本入力!C11=0,SUM(係数!K57:O57)*1000,基本入力!C11)</f>
        <v>7398000</v>
      </c>
      <c r="C16" s="449" t="s">
        <v>163</v>
      </c>
      <c r="D16" s="1875">
        <f>G13</f>
        <v>0.75949999999999995</v>
      </c>
      <c r="E16" s="1876"/>
      <c r="F16" s="450"/>
      <c r="G16" s="711">
        <f>ROUND(B16*D16,0)</f>
        <v>5618781</v>
      </c>
      <c r="H16" s="1331" t="s">
        <v>163</v>
      </c>
      <c r="I16" s="1016"/>
      <c r="J16" s="1323"/>
      <c r="K16" s="1015"/>
      <c r="L16" s="1879" t="s">
        <v>191</v>
      </c>
      <c r="M16" s="1879"/>
      <c r="N16" s="1877" t="s">
        <v>192</v>
      </c>
      <c r="O16" s="1877"/>
      <c r="P16" s="1877" t="s">
        <v>194</v>
      </c>
      <c r="Q16" s="1877"/>
      <c r="R16" s="1877" t="s">
        <v>196</v>
      </c>
      <c r="S16" s="1877"/>
      <c r="T16" s="1877" t="s">
        <v>198</v>
      </c>
      <c r="U16" s="1877"/>
      <c r="V16" s="1877" t="s">
        <v>200</v>
      </c>
      <c r="W16" s="1877"/>
      <c r="X16" s="1877" t="s">
        <v>202</v>
      </c>
      <c r="Y16" s="1877"/>
      <c r="Z16" s="1877" t="s">
        <v>204</v>
      </c>
      <c r="AA16" s="1877"/>
      <c r="AB16" s="1877" t="s">
        <v>206</v>
      </c>
      <c r="AC16" s="1877"/>
      <c r="AD16" s="197"/>
      <c r="AE16" s="196" t="s">
        <v>219</v>
      </c>
      <c r="AF16" s="197"/>
      <c r="AG16" s="1407" t="s">
        <v>548</v>
      </c>
    </row>
    <row r="17" spans="1:33" s="200" customFormat="1" ht="24" customHeight="1">
      <c r="A17" s="1323"/>
      <c r="B17" s="1012"/>
      <c r="C17" s="1012"/>
      <c r="D17" s="1012"/>
      <c r="E17" s="1012"/>
      <c r="F17" s="1012"/>
      <c r="G17" s="1012"/>
      <c r="H17" s="1012"/>
      <c r="I17" s="1016"/>
      <c r="J17" s="1323"/>
      <c r="K17" s="1406" t="s">
        <v>547</v>
      </c>
      <c r="L17" s="1324" t="s">
        <v>208</v>
      </c>
      <c r="M17" s="1421">
        <f>ROUND(L4*M4, 0)</f>
        <v>35015</v>
      </c>
      <c r="N17" s="1421"/>
      <c r="O17" s="1421">
        <f t="shared" ref="O17:AC17" si="0">ROUND(N4*O4, 0)</f>
        <v>0</v>
      </c>
      <c r="P17" s="1421"/>
      <c r="Q17" s="1421">
        <f t="shared" si="0"/>
        <v>0</v>
      </c>
      <c r="R17" s="1421"/>
      <c r="S17" s="1421">
        <f t="shared" si="0"/>
        <v>0</v>
      </c>
      <c r="T17" s="1421"/>
      <c r="U17" s="1421">
        <f t="shared" si="0"/>
        <v>0</v>
      </c>
      <c r="V17" s="1421"/>
      <c r="W17" s="1421">
        <f t="shared" si="0"/>
        <v>0</v>
      </c>
      <c r="X17" s="1421"/>
      <c r="Y17" s="1421">
        <f t="shared" si="0"/>
        <v>0</v>
      </c>
      <c r="Z17" s="1421"/>
      <c r="AA17" s="1421">
        <f t="shared" si="0"/>
        <v>0</v>
      </c>
      <c r="AB17" s="1421"/>
      <c r="AC17" s="1421">
        <f t="shared" si="0"/>
        <v>0</v>
      </c>
      <c r="AD17" s="1015"/>
      <c r="AE17" s="1422">
        <f>M4+O4+Q4+S4+U4+W4+Y4+AA4+AC4</f>
        <v>2917950</v>
      </c>
      <c r="AF17" s="1323"/>
      <c r="AG17" s="1422">
        <f>M17+O17+Q17+S17+U17+W17+Y17+AA17+AC17</f>
        <v>35015</v>
      </c>
    </row>
    <row r="18" spans="1:33" s="200" customFormat="1" ht="24" customHeight="1" thickBot="1">
      <c r="A18" s="1323"/>
      <c r="B18" s="1813" t="s">
        <v>735</v>
      </c>
      <c r="C18" s="1857"/>
      <c r="D18" s="1857"/>
      <c r="E18" s="1857"/>
      <c r="F18" s="1857"/>
      <c r="G18" s="1857"/>
      <c r="H18" s="1857"/>
      <c r="I18" s="1016"/>
      <c r="J18" s="1016"/>
      <c r="K18" s="1323"/>
      <c r="L18" s="1324" t="s">
        <v>209</v>
      </c>
      <c r="M18" s="1421">
        <f>ROUND(L5*M5, 0)</f>
        <v>14788</v>
      </c>
      <c r="N18" s="1421"/>
      <c r="O18" s="1421">
        <f t="shared" ref="O18:AC18" si="1">ROUND(N5*O5, 0)</f>
        <v>0</v>
      </c>
      <c r="P18" s="1421"/>
      <c r="Q18" s="1421">
        <f t="shared" si="1"/>
        <v>0</v>
      </c>
      <c r="R18" s="1421"/>
      <c r="S18" s="1421">
        <f t="shared" si="1"/>
        <v>0</v>
      </c>
      <c r="T18" s="1421"/>
      <c r="U18" s="1421">
        <f t="shared" si="1"/>
        <v>0</v>
      </c>
      <c r="V18" s="1421"/>
      <c r="W18" s="1421">
        <f t="shared" si="1"/>
        <v>0</v>
      </c>
      <c r="X18" s="1421"/>
      <c r="Y18" s="1421">
        <f t="shared" si="1"/>
        <v>0</v>
      </c>
      <c r="Z18" s="1421"/>
      <c r="AA18" s="1421">
        <f t="shared" si="1"/>
        <v>0</v>
      </c>
      <c r="AB18" s="1421"/>
      <c r="AC18" s="1421">
        <f t="shared" si="1"/>
        <v>0</v>
      </c>
      <c r="AD18" s="1015"/>
      <c r="AE18" s="1422">
        <f>M5+O5+Q5+S5+U5+W5+Y5+AA5+AC5</f>
        <v>1232350</v>
      </c>
      <c r="AF18" s="1323"/>
      <c r="AG18" s="1422">
        <f t="shared" ref="AG18:AG23" si="2">M18+O18+Q18+S18+U18+W18+Y18+AA18+AC18</f>
        <v>14788</v>
      </c>
    </row>
    <row r="19" spans="1:33" s="200" customFormat="1" ht="24" customHeight="1">
      <c r="A19" s="1323"/>
      <c r="B19" s="1863" t="s">
        <v>1055</v>
      </c>
      <c r="C19" s="1854"/>
      <c r="D19" s="1854"/>
      <c r="E19" s="1854"/>
      <c r="F19" s="1854"/>
      <c r="G19" s="1854"/>
      <c r="H19" s="1852"/>
      <c r="I19" s="1016"/>
      <c r="J19" s="1016"/>
      <c r="K19" s="1323"/>
      <c r="L19" s="1324" t="s">
        <v>540</v>
      </c>
      <c r="M19" s="1421">
        <f>ROUND(L6*M6, 0)</f>
        <v>61093</v>
      </c>
      <c r="N19" s="1421"/>
      <c r="O19" s="1421">
        <f t="shared" ref="O19:AC19" si="3">ROUND(N6*O6, 0)</f>
        <v>0</v>
      </c>
      <c r="P19" s="1421"/>
      <c r="Q19" s="1421">
        <f t="shared" si="3"/>
        <v>0</v>
      </c>
      <c r="R19" s="1421"/>
      <c r="S19" s="1421">
        <f t="shared" si="3"/>
        <v>0</v>
      </c>
      <c r="T19" s="1421"/>
      <c r="U19" s="1421">
        <f t="shared" si="3"/>
        <v>0</v>
      </c>
      <c r="V19" s="1421"/>
      <c r="W19" s="1421">
        <f t="shared" si="3"/>
        <v>0</v>
      </c>
      <c r="X19" s="1421"/>
      <c r="Y19" s="1421">
        <f t="shared" si="3"/>
        <v>0</v>
      </c>
      <c r="Z19" s="1421"/>
      <c r="AA19" s="1421">
        <f t="shared" si="3"/>
        <v>0</v>
      </c>
      <c r="AB19" s="1421"/>
      <c r="AC19" s="1421">
        <f t="shared" si="3"/>
        <v>0</v>
      </c>
      <c r="AD19" s="1015"/>
      <c r="AE19" s="1422">
        <f>M6+O6+Q6+S6+U6+W6+Y6+AA6+AC6</f>
        <v>5091100</v>
      </c>
      <c r="AF19" s="1323"/>
      <c r="AG19" s="1422">
        <f t="shared" si="2"/>
        <v>61093</v>
      </c>
    </row>
    <row r="20" spans="1:33" s="200" customFormat="1" ht="24" customHeight="1" thickBot="1">
      <c r="A20" s="1323"/>
      <c r="B20" s="1336">
        <f>IF(基本入力!C39&gt;0,SUM(AE26:AE36),投資額!G37-SUM(投資額!G28,投資額!H28,投資額!G30,投資額!H30))</f>
        <v>47549600</v>
      </c>
      <c r="C20" s="449" t="s">
        <v>163</v>
      </c>
      <c r="D20" s="1845">
        <f>IF(B20&gt;0,ROUND(G20/B20,5),"－")</f>
        <v>1.2E-2</v>
      </c>
      <c r="E20" s="1846"/>
      <c r="F20" s="1847"/>
      <c r="G20" s="711">
        <f>ROUNDDOWN(IF(基本入力!C39=0,(AG25+AG37),AG37)*CHOOSE((基本入力!C7+1),(基本入力!E40+1),1),0)</f>
        <v>570593</v>
      </c>
      <c r="H20" s="1331" t="s">
        <v>163</v>
      </c>
      <c r="I20" s="1016"/>
      <c r="J20" s="1016"/>
      <c r="K20" s="1017"/>
      <c r="L20" s="1324" t="s">
        <v>211</v>
      </c>
      <c r="M20" s="1421">
        <f>ROUND(L7*M7, 0)</f>
        <v>31340</v>
      </c>
      <c r="N20" s="1421"/>
      <c r="O20" s="1421">
        <f t="shared" ref="O20:AC20" si="4">ROUND(N7*O7, 0)</f>
        <v>0</v>
      </c>
      <c r="P20" s="1421"/>
      <c r="Q20" s="1421">
        <f t="shared" si="4"/>
        <v>0</v>
      </c>
      <c r="R20" s="1421"/>
      <c r="S20" s="1421">
        <f t="shared" si="4"/>
        <v>0</v>
      </c>
      <c r="T20" s="1421"/>
      <c r="U20" s="1421">
        <f t="shared" si="4"/>
        <v>0</v>
      </c>
      <c r="V20" s="1421"/>
      <c r="W20" s="1421">
        <f t="shared" si="4"/>
        <v>0</v>
      </c>
      <c r="X20" s="1421"/>
      <c r="Y20" s="1421">
        <f t="shared" si="4"/>
        <v>0</v>
      </c>
      <c r="Z20" s="1421"/>
      <c r="AA20" s="1421">
        <f t="shared" si="4"/>
        <v>0</v>
      </c>
      <c r="AB20" s="1421"/>
      <c r="AC20" s="1421">
        <f t="shared" si="4"/>
        <v>0</v>
      </c>
      <c r="AD20" s="1423"/>
      <c r="AE20" s="1422">
        <f>M7+O7+Q7+S7+U7+W7+Y7+AA7+AC7</f>
        <v>2611700</v>
      </c>
      <c r="AF20" s="1323"/>
      <c r="AG20" s="1422">
        <f t="shared" si="2"/>
        <v>31340</v>
      </c>
    </row>
    <row r="21" spans="1:33" s="200" customFormat="1" ht="27" customHeight="1" thickBot="1">
      <c r="A21" s="1323"/>
      <c r="B21" s="1337"/>
      <c r="C21" s="1012"/>
      <c r="D21" s="1012"/>
      <c r="E21" s="1012"/>
      <c r="F21" s="1012"/>
      <c r="G21" s="1013"/>
      <c r="H21" s="1012"/>
      <c r="I21" s="1016"/>
      <c r="J21" s="1016"/>
      <c r="K21" s="1021"/>
      <c r="L21" s="1324" t="s">
        <v>212</v>
      </c>
      <c r="M21" s="1421">
        <f>ROUND(L8*M8, 0)</f>
        <v>8849</v>
      </c>
      <c r="N21" s="1421"/>
      <c r="O21" s="1421">
        <f t="shared" ref="O21:AC21" si="5">ROUND(N8*O8, 0)</f>
        <v>0</v>
      </c>
      <c r="P21" s="1421"/>
      <c r="Q21" s="1421">
        <f t="shared" si="5"/>
        <v>0</v>
      </c>
      <c r="R21" s="1421"/>
      <c r="S21" s="1421">
        <f t="shared" si="5"/>
        <v>0</v>
      </c>
      <c r="T21" s="1421"/>
      <c r="U21" s="1421">
        <f t="shared" si="5"/>
        <v>0</v>
      </c>
      <c r="V21" s="1421"/>
      <c r="W21" s="1421">
        <f t="shared" si="5"/>
        <v>0</v>
      </c>
      <c r="X21" s="1421"/>
      <c r="Y21" s="1421">
        <f t="shared" si="5"/>
        <v>0</v>
      </c>
      <c r="Z21" s="1421"/>
      <c r="AA21" s="1421">
        <f t="shared" si="5"/>
        <v>0</v>
      </c>
      <c r="AB21" s="1421"/>
      <c r="AC21" s="1421">
        <f t="shared" si="5"/>
        <v>0</v>
      </c>
      <c r="AD21" s="1423"/>
      <c r="AE21" s="1422">
        <f>M8+O8+Q8+S8+U8+W8+Y8+AA8+AC8</f>
        <v>737450</v>
      </c>
      <c r="AF21" s="1323"/>
      <c r="AG21" s="1422">
        <f t="shared" si="2"/>
        <v>8849</v>
      </c>
    </row>
    <row r="22" spans="1:33" s="200" customFormat="1" ht="24" customHeight="1">
      <c r="A22" s="1323"/>
      <c r="B22" s="1829" t="s">
        <v>683</v>
      </c>
      <c r="C22" s="1864"/>
      <c r="D22" s="1864"/>
      <c r="E22" s="1864"/>
      <c r="F22" s="1864"/>
      <c r="G22" s="1864"/>
      <c r="H22" s="1865"/>
      <c r="I22" s="1016"/>
      <c r="J22" s="1323"/>
      <c r="K22" s="1021"/>
      <c r="L22" s="1324" t="s">
        <v>216</v>
      </c>
      <c r="M22" s="1421">
        <f>ROUND(L13*M13, 0)</f>
        <v>28577</v>
      </c>
      <c r="N22" s="1421"/>
      <c r="O22" s="1421">
        <f t="shared" ref="O22:AC22" si="6">ROUND(N13*O13, 0)</f>
        <v>0</v>
      </c>
      <c r="P22" s="1421"/>
      <c r="Q22" s="1421">
        <f t="shared" si="6"/>
        <v>0</v>
      </c>
      <c r="R22" s="1421"/>
      <c r="S22" s="1421">
        <f t="shared" si="6"/>
        <v>0</v>
      </c>
      <c r="T22" s="1421"/>
      <c r="U22" s="1421">
        <f t="shared" si="6"/>
        <v>0</v>
      </c>
      <c r="V22" s="1421"/>
      <c r="W22" s="1421">
        <f t="shared" si="6"/>
        <v>0</v>
      </c>
      <c r="X22" s="1421"/>
      <c r="Y22" s="1421">
        <f t="shared" si="6"/>
        <v>0</v>
      </c>
      <c r="Z22" s="1421"/>
      <c r="AA22" s="1421">
        <f t="shared" si="6"/>
        <v>0</v>
      </c>
      <c r="AB22" s="1421"/>
      <c r="AC22" s="1421">
        <f t="shared" si="6"/>
        <v>0</v>
      </c>
      <c r="AD22" s="1423"/>
      <c r="AE22" s="1422">
        <f>M13+O13+Q13+S13+U13+W13+Y13+AA13+AC13</f>
        <v>2381400</v>
      </c>
      <c r="AF22" s="1323"/>
      <c r="AG22" s="1422">
        <f t="shared" si="2"/>
        <v>28577</v>
      </c>
    </row>
    <row r="23" spans="1:33" s="200" customFormat="1" ht="24" customHeight="1" thickBot="1">
      <c r="A23" s="1323"/>
      <c r="B23" s="1336">
        <f>IF(基本入力!C39=0,(IF(投資額!G37-B20=0,0,投資額!G37-B20)),0)</f>
        <v>0</v>
      </c>
      <c r="C23" s="449" t="s">
        <v>163</v>
      </c>
      <c r="D23" s="1833" t="str">
        <f>IF(B23=0,"－",ROUND(G23/B23,5))</f>
        <v>－</v>
      </c>
      <c r="E23" s="1834"/>
      <c r="F23" s="1835"/>
      <c r="G23" s="711">
        <f>ROUNDDOWN(IF(基本入力!C39=0,SUM(AG94:AG95)*CHOOSE((基本入力!C7+1),(基本入力!E40+1),1),0),0)</f>
        <v>0</v>
      </c>
      <c r="H23" s="1331" t="s">
        <v>163</v>
      </c>
      <c r="I23" s="1016"/>
      <c r="J23" s="1323"/>
      <c r="K23" s="1021"/>
      <c r="L23" s="1324" t="s">
        <v>217</v>
      </c>
      <c r="M23" s="1421">
        <f>ROUND(L14*M14, 0)</f>
        <v>1117</v>
      </c>
      <c r="N23" s="1421"/>
      <c r="O23" s="1421">
        <f t="shared" ref="O23:AC23" si="7">ROUND(N14*O14, 0)</f>
        <v>0</v>
      </c>
      <c r="P23" s="1421"/>
      <c r="Q23" s="1421">
        <f t="shared" si="7"/>
        <v>0</v>
      </c>
      <c r="R23" s="1421"/>
      <c r="S23" s="1421">
        <f t="shared" si="7"/>
        <v>0</v>
      </c>
      <c r="T23" s="1421"/>
      <c r="U23" s="1421">
        <f t="shared" si="7"/>
        <v>0</v>
      </c>
      <c r="V23" s="1421"/>
      <c r="W23" s="1421">
        <f t="shared" si="7"/>
        <v>0</v>
      </c>
      <c r="X23" s="1421"/>
      <c r="Y23" s="1421">
        <f t="shared" si="7"/>
        <v>0</v>
      </c>
      <c r="Z23" s="1421"/>
      <c r="AA23" s="1421">
        <f t="shared" si="7"/>
        <v>0</v>
      </c>
      <c r="AB23" s="1421"/>
      <c r="AC23" s="1421">
        <f t="shared" si="7"/>
        <v>0</v>
      </c>
      <c r="AD23" s="1423"/>
      <c r="AE23" s="1422">
        <f>M14+O14+Q14+S14+U14+W14+Y14+AA14+AC14</f>
        <v>93100</v>
      </c>
      <c r="AF23" s="1323"/>
      <c r="AG23" s="1422">
        <f t="shared" si="2"/>
        <v>1117</v>
      </c>
    </row>
    <row r="24" spans="1:33" s="200" customFormat="1" ht="24" customHeight="1" thickBot="1">
      <c r="A24" s="1323"/>
      <c r="B24" s="1013"/>
      <c r="C24" s="1012"/>
      <c r="D24" s="1338"/>
      <c r="E24" s="1338"/>
      <c r="F24" s="1012"/>
      <c r="G24" s="1013"/>
      <c r="H24" s="1012"/>
      <c r="I24" s="1016"/>
      <c r="J24" s="1323"/>
      <c r="K24" s="1023"/>
      <c r="L24" s="1324" t="s">
        <v>218</v>
      </c>
      <c r="M24" s="1421">
        <f>ROUND(L15*M15, 0)</f>
        <v>26195</v>
      </c>
      <c r="N24" s="1421"/>
      <c r="O24" s="1421">
        <f>ROUND(N15*O15, 0)</f>
        <v>0</v>
      </c>
      <c r="P24" s="1421"/>
      <c r="Q24" s="1421">
        <f t="shared" ref="Q24:AC24" si="8">ROUND(P15*Q15, 0)</f>
        <v>0</v>
      </c>
      <c r="R24" s="1421"/>
      <c r="S24" s="1421">
        <f t="shared" si="8"/>
        <v>0</v>
      </c>
      <c r="T24" s="1421"/>
      <c r="U24" s="1421">
        <f t="shared" si="8"/>
        <v>0</v>
      </c>
      <c r="V24" s="1421"/>
      <c r="W24" s="1421">
        <f t="shared" si="8"/>
        <v>0</v>
      </c>
      <c r="X24" s="1421"/>
      <c r="Y24" s="1421">
        <f t="shared" si="8"/>
        <v>0</v>
      </c>
      <c r="Z24" s="1421"/>
      <c r="AA24" s="1421">
        <f t="shared" si="8"/>
        <v>0</v>
      </c>
      <c r="AB24" s="1421"/>
      <c r="AC24" s="1421">
        <f t="shared" si="8"/>
        <v>0</v>
      </c>
      <c r="AD24" s="1423"/>
      <c r="AE24" s="1422">
        <f>M15+O15+Q15+S15+U15+W15+Y15+AA15+AC15</f>
        <v>2182950</v>
      </c>
      <c r="AF24" s="1323"/>
      <c r="AG24" s="1422">
        <f>M24+O24+Q24+S24+U24+W24+Y24+AA24+AC24</f>
        <v>26195</v>
      </c>
    </row>
    <row r="25" spans="1:33" s="200" customFormat="1" ht="24" customHeight="1" thickBot="1">
      <c r="A25" s="1323"/>
      <c r="B25" s="1815" t="s">
        <v>736</v>
      </c>
      <c r="C25" s="1816"/>
      <c r="D25" s="1816"/>
      <c r="E25" s="1816"/>
      <c r="F25" s="1817"/>
      <c r="G25" s="1339">
        <f>SUM(G20:G23)</f>
        <v>570593</v>
      </c>
      <c r="H25" s="1340" t="s">
        <v>163</v>
      </c>
      <c r="I25" s="1016"/>
      <c r="J25" s="1016"/>
      <c r="K25" s="1324" t="s">
        <v>190</v>
      </c>
      <c r="L25" s="1879" t="s">
        <v>191</v>
      </c>
      <c r="M25" s="1879"/>
      <c r="N25" s="1877" t="s">
        <v>192</v>
      </c>
      <c r="O25" s="1877"/>
      <c r="P25" s="1877" t="s">
        <v>194</v>
      </c>
      <c r="Q25" s="1877"/>
      <c r="R25" s="1877" t="s">
        <v>196</v>
      </c>
      <c r="S25" s="1877"/>
      <c r="T25" s="1877" t="s">
        <v>198</v>
      </c>
      <c r="U25" s="1877"/>
      <c r="V25" s="1877" t="s">
        <v>200</v>
      </c>
      <c r="W25" s="1877"/>
      <c r="X25" s="1877" t="s">
        <v>202</v>
      </c>
      <c r="Y25" s="1877"/>
      <c r="Z25" s="1877" t="s">
        <v>204</v>
      </c>
      <c r="AA25" s="1877"/>
      <c r="AB25" s="1877" t="s">
        <v>206</v>
      </c>
      <c r="AC25" s="1877"/>
      <c r="AD25" s="1015"/>
      <c r="AE25" s="1422">
        <f>M12+O12+Q12+S12+U12+W12+Y12+AA12+AC12</f>
        <v>30301600</v>
      </c>
      <c r="AF25" s="1411" t="s">
        <v>549</v>
      </c>
      <c r="AG25" s="1482">
        <f>SUM(AG17:AG24)</f>
        <v>206974</v>
      </c>
    </row>
    <row r="26" spans="1:33" s="200" customFormat="1" ht="24" customHeight="1">
      <c r="A26" s="1323"/>
      <c r="B26" s="1012"/>
      <c r="C26" s="1012"/>
      <c r="D26" s="1012"/>
      <c r="E26" s="1012"/>
      <c r="F26" s="1012"/>
      <c r="G26" s="1012"/>
      <c r="H26" s="1012"/>
      <c r="I26" s="1016"/>
      <c r="J26" s="1016"/>
      <c r="K26" s="1323" t="s">
        <v>214</v>
      </c>
      <c r="L26" s="1015" t="s">
        <v>543</v>
      </c>
      <c r="M26" s="1421">
        <f>ROUND(L9*M9, 0)</f>
        <v>0</v>
      </c>
      <c r="N26" s="1421"/>
      <c r="O26" s="1421">
        <f>ROUND(N9*O9, 0)</f>
        <v>0</v>
      </c>
      <c r="P26" s="1421"/>
      <c r="Q26" s="1421">
        <f>ROUND(P9*Q9, 0)</f>
        <v>0</v>
      </c>
      <c r="R26" s="1421"/>
      <c r="S26" s="1421">
        <f>ROUND(R9*S9, 0)</f>
        <v>0</v>
      </c>
      <c r="T26" s="1421"/>
      <c r="U26" s="1421">
        <f>ROUND(T9*U9, 0)</f>
        <v>0</v>
      </c>
      <c r="V26" s="1421"/>
      <c r="W26" s="1421">
        <f>ROUND(V9*W9, 0)</f>
        <v>0</v>
      </c>
      <c r="X26" s="1421"/>
      <c r="Y26" s="1421">
        <f>ROUND(X9*Y9, 0)</f>
        <v>0</v>
      </c>
      <c r="Z26" s="1421"/>
      <c r="AA26" s="1421">
        <f>ROUND(Z9*AA9, 0)</f>
        <v>0</v>
      </c>
      <c r="AB26" s="1421"/>
      <c r="AC26" s="1421">
        <f>ROUND(AB9*AC9, 0)</f>
        <v>0</v>
      </c>
      <c r="AD26" s="1425"/>
      <c r="AE26" s="1422">
        <f>M9+O9+Q9+S9+U9+W9+Y9+AA9+AC9</f>
        <v>0</v>
      </c>
      <c r="AF26" s="1323"/>
      <c r="AG26" s="1422">
        <f>M26+O26+Q26+S26+U26+W26+Y26+AA26+AC26</f>
        <v>0</v>
      </c>
    </row>
    <row r="27" spans="1:33" s="200" customFormat="1" ht="24" customHeight="1">
      <c r="A27" s="1323"/>
      <c r="B27" s="1012"/>
      <c r="C27" s="1012"/>
      <c r="D27" s="1012"/>
      <c r="E27" s="1012"/>
      <c r="F27" s="1012"/>
      <c r="G27" s="1012"/>
      <c r="H27" s="1012"/>
      <c r="I27" s="1016"/>
      <c r="J27" s="1323"/>
      <c r="K27" s="1323"/>
      <c r="L27" s="1015" t="s">
        <v>544</v>
      </c>
      <c r="M27" s="1421">
        <f>ROUND(L10*M10, 0)</f>
        <v>0</v>
      </c>
      <c r="N27" s="1421"/>
      <c r="O27" s="1421">
        <f>ROUND(N10*O10, 0)</f>
        <v>0</v>
      </c>
      <c r="P27" s="1421"/>
      <c r="Q27" s="1421">
        <f>ROUND(P10*Q10, 0)</f>
        <v>0</v>
      </c>
      <c r="R27" s="1421"/>
      <c r="S27" s="1421">
        <f>ROUND(R10*S10, 0)</f>
        <v>0</v>
      </c>
      <c r="T27" s="1421"/>
      <c r="U27" s="1421">
        <f>ROUND(T10*U10, 0)</f>
        <v>0</v>
      </c>
      <c r="V27" s="1421"/>
      <c r="W27" s="1421">
        <f>ROUND(V10*W10, 0)</f>
        <v>0</v>
      </c>
      <c r="X27" s="1421"/>
      <c r="Y27" s="1421">
        <f>ROUND(X10*Y10, 0)</f>
        <v>0</v>
      </c>
      <c r="Z27" s="1421"/>
      <c r="AA27" s="1421">
        <f>ROUND(Z10*AA10, 0)</f>
        <v>0</v>
      </c>
      <c r="AB27" s="1421"/>
      <c r="AC27" s="1421">
        <f>ROUND(AB10*AC10, 0)</f>
        <v>0</v>
      </c>
      <c r="AD27" s="1425"/>
      <c r="AE27" s="1422">
        <f>M10+O10+Q10+S10+U10+W10+Y10+AA10+AC10</f>
        <v>0</v>
      </c>
      <c r="AF27" s="1323"/>
      <c r="AG27" s="1422">
        <f>M27+O27+Q27+S27+U27+W27+Y27+AA27+AC27</f>
        <v>0</v>
      </c>
    </row>
    <row r="28" spans="1:33" s="200" customFormat="1" ht="24" customHeight="1">
      <c r="A28" s="1323"/>
      <c r="B28" s="1015"/>
      <c r="C28" s="1015"/>
      <c r="D28" s="1323"/>
      <c r="E28" s="1323"/>
      <c r="F28" s="1014"/>
      <c r="G28" s="953"/>
      <c r="H28" s="1015"/>
      <c r="I28" s="1016"/>
      <c r="J28" s="1323"/>
      <c r="K28" s="1323"/>
      <c r="L28" s="1015" t="s">
        <v>545</v>
      </c>
      <c r="M28" s="1421">
        <f>ROUND(L11*M11, 0)</f>
        <v>0</v>
      </c>
      <c r="N28" s="1421"/>
      <c r="O28" s="1421">
        <f t="shared" ref="O28:AC28" si="9">ROUND(N11*O11, 0)</f>
        <v>0</v>
      </c>
      <c r="P28" s="1421"/>
      <c r="Q28" s="1421">
        <f t="shared" si="9"/>
        <v>0</v>
      </c>
      <c r="R28" s="1421"/>
      <c r="S28" s="1421">
        <f t="shared" si="9"/>
        <v>0</v>
      </c>
      <c r="T28" s="1421"/>
      <c r="U28" s="1421">
        <f t="shared" si="9"/>
        <v>0</v>
      </c>
      <c r="V28" s="1421"/>
      <c r="W28" s="1421">
        <f t="shared" si="9"/>
        <v>0</v>
      </c>
      <c r="X28" s="1421"/>
      <c r="Y28" s="1421">
        <f t="shared" si="9"/>
        <v>0</v>
      </c>
      <c r="Z28" s="1421"/>
      <c r="AA28" s="1421">
        <f t="shared" si="9"/>
        <v>0</v>
      </c>
      <c r="AB28" s="1421"/>
      <c r="AC28" s="1421">
        <f t="shared" si="9"/>
        <v>0</v>
      </c>
      <c r="AD28" s="1425"/>
      <c r="AE28" s="1422">
        <f>M11+O11+Q11+S11+U11+W11+Y11+AA11+AC11</f>
        <v>0</v>
      </c>
      <c r="AF28" s="1323"/>
      <c r="AG28" s="1422">
        <f>M28+O28+Q28+S28+U28+W28+Y28+AA28+AC28</f>
        <v>0</v>
      </c>
    </row>
    <row r="29" spans="1:33" s="200" customFormat="1" ht="24" customHeight="1">
      <c r="A29" s="1323"/>
      <c r="B29" s="1836" t="s">
        <v>739</v>
      </c>
      <c r="C29" s="1837"/>
      <c r="D29" s="1837"/>
      <c r="E29" s="1837"/>
      <c r="F29" s="1837"/>
      <c r="G29" s="1837"/>
      <c r="H29" s="1837"/>
      <c r="I29" s="1016"/>
      <c r="J29" s="1016"/>
      <c r="K29" s="1323"/>
      <c r="L29" s="1015" t="s">
        <v>546</v>
      </c>
      <c r="M29" s="1421">
        <f>ROUND(L12*M12, 0)</f>
        <v>363619</v>
      </c>
      <c r="N29" s="1421"/>
      <c r="O29" s="1421">
        <f t="shared" ref="O29:AC29" si="10">ROUND(N12*O12, 0)</f>
        <v>0</v>
      </c>
      <c r="P29" s="1421"/>
      <c r="Q29" s="1421">
        <f t="shared" si="10"/>
        <v>0</v>
      </c>
      <c r="R29" s="1421"/>
      <c r="S29" s="1421">
        <f t="shared" si="10"/>
        <v>0</v>
      </c>
      <c r="T29" s="1421"/>
      <c r="U29" s="1421">
        <f t="shared" si="10"/>
        <v>0</v>
      </c>
      <c r="V29" s="1421"/>
      <c r="W29" s="1421">
        <f t="shared" si="10"/>
        <v>0</v>
      </c>
      <c r="X29" s="1421"/>
      <c r="Y29" s="1421">
        <f t="shared" si="10"/>
        <v>0</v>
      </c>
      <c r="Z29" s="1421"/>
      <c r="AA29" s="1421">
        <f t="shared" si="10"/>
        <v>0</v>
      </c>
      <c r="AB29" s="1421"/>
      <c r="AC29" s="1421">
        <f t="shared" si="10"/>
        <v>0</v>
      </c>
      <c r="AD29" s="1425"/>
      <c r="AE29" s="1422">
        <f>M12+O12+Q12+S12+U12+W12+Y12+AA12+AC12</f>
        <v>30301600</v>
      </c>
      <c r="AF29" s="1323"/>
      <c r="AG29" s="1422">
        <f>M29+O29+Q29+S29+U29+W29+Y29+AA29+AC29</f>
        <v>363619</v>
      </c>
    </row>
    <row r="30" spans="1:33" s="200" customFormat="1" ht="24" customHeight="1">
      <c r="A30" s="1323"/>
      <c r="B30" s="1838" t="s">
        <v>222</v>
      </c>
      <c r="C30" s="1838"/>
      <c r="D30" s="1838"/>
      <c r="E30" s="1838"/>
      <c r="F30" s="1838"/>
      <c r="G30" s="1838"/>
      <c r="H30" s="1838"/>
      <c r="I30" s="1016"/>
      <c r="J30" s="1016"/>
      <c r="K30" s="1323"/>
      <c r="L30" s="1420"/>
      <c r="M30" s="1421"/>
      <c r="N30" s="1425"/>
      <c r="O30" s="1421"/>
      <c r="P30" s="1425"/>
      <c r="Q30" s="1421"/>
      <c r="R30" s="1425"/>
      <c r="S30" s="1421"/>
      <c r="T30" s="1425"/>
      <c r="U30" s="1421"/>
      <c r="V30" s="1425"/>
      <c r="W30" s="1421"/>
      <c r="X30" s="1425"/>
      <c r="Y30" s="1421"/>
      <c r="Z30" s="1425"/>
      <c r="AA30" s="1421"/>
      <c r="AB30" s="1425"/>
      <c r="AC30" s="1421"/>
      <c r="AD30" s="1425"/>
      <c r="AE30" s="1422"/>
      <c r="AF30" s="1323"/>
      <c r="AG30" s="1424"/>
    </row>
    <row r="31" spans="1:33" s="200" customFormat="1" ht="14.5" thickBot="1">
      <c r="A31" s="1323"/>
      <c r="B31" s="1015" t="s">
        <v>221</v>
      </c>
      <c r="C31" s="1015"/>
      <c r="D31" s="1015"/>
      <c r="E31" s="1015"/>
      <c r="F31" s="1014"/>
      <c r="G31" s="953"/>
      <c r="H31" s="1015"/>
      <c r="I31" s="1016"/>
      <c r="J31" s="1016"/>
      <c r="K31" s="1323"/>
      <c r="L31" s="1420"/>
      <c r="M31" s="1421"/>
      <c r="N31" s="1425"/>
      <c r="O31" s="1421"/>
      <c r="P31" s="1425"/>
      <c r="Q31" s="1421"/>
      <c r="R31" s="1425"/>
      <c r="S31" s="1421"/>
      <c r="T31" s="1425"/>
      <c r="U31" s="1421"/>
      <c r="V31" s="1425"/>
      <c r="W31" s="1421"/>
      <c r="X31" s="1425"/>
      <c r="Y31" s="1421"/>
      <c r="Z31" s="1425"/>
      <c r="AA31" s="1421"/>
      <c r="AB31" s="1425"/>
      <c r="AC31" s="1421"/>
      <c r="AD31" s="1425"/>
      <c r="AE31" s="1422"/>
      <c r="AF31" s="1323"/>
      <c r="AG31" s="1424"/>
    </row>
    <row r="32" spans="1:33" s="200" customFormat="1" ht="30" customHeight="1">
      <c r="A32" s="1323"/>
      <c r="B32" s="1843" t="s">
        <v>669</v>
      </c>
      <c r="C32" s="1844"/>
      <c r="D32" s="1341" t="s">
        <v>681</v>
      </c>
      <c r="E32" s="1341"/>
      <c r="F32" s="1341"/>
      <c r="G32" s="1341"/>
      <c r="H32" s="1342"/>
      <c r="I32" s="1016"/>
      <c r="J32" s="1016"/>
      <c r="K32" s="1017"/>
      <c r="L32" s="1021"/>
      <c r="M32" s="1421"/>
      <c r="N32" s="1423"/>
      <c r="O32" s="1421"/>
      <c r="P32" s="1423"/>
      <c r="Q32" s="1421"/>
      <c r="R32" s="1423"/>
      <c r="S32" s="1421"/>
      <c r="T32" s="1423"/>
      <c r="U32" s="1421"/>
      <c r="V32" s="1423"/>
      <c r="W32" s="1421"/>
      <c r="X32" s="1423"/>
      <c r="Y32" s="1421"/>
      <c r="Z32" s="1423"/>
      <c r="AA32" s="1421"/>
      <c r="AB32" s="1423"/>
      <c r="AC32" s="1421"/>
      <c r="AD32" s="1423"/>
      <c r="AE32" s="1422"/>
      <c r="AF32" s="1323"/>
      <c r="AG32" s="1424"/>
    </row>
    <row r="33" spans="1:33" s="200" customFormat="1" ht="24" customHeight="1" thickBot="1">
      <c r="A33" s="1323"/>
      <c r="B33" s="1336">
        <f>IF(基本入力!C20&gt;0,ROUND(基本入力!C20*基本入力!C19,0),IF(基本入力!C21&gt;0,基本入力!C21,0))</f>
        <v>0</v>
      </c>
      <c r="C33" s="449" t="s">
        <v>163</v>
      </c>
      <c r="D33" s="1806">
        <f>IF(B33&gt;=0,係数!S40,"－")</f>
        <v>1.7000000000000001E-2</v>
      </c>
      <c r="E33" s="1807"/>
      <c r="F33" s="1808"/>
      <c r="G33" s="711">
        <f>ROUND(B33*D33,0)</f>
        <v>0</v>
      </c>
      <c r="H33" s="1331" t="s">
        <v>163</v>
      </c>
      <c r="I33" s="1016"/>
      <c r="J33" s="1016"/>
      <c r="K33" s="1017"/>
      <c r="L33" s="1021"/>
      <c r="M33" s="1421"/>
      <c r="N33" s="1423"/>
      <c r="O33" s="1421"/>
      <c r="P33" s="1423"/>
      <c r="Q33" s="1421"/>
      <c r="R33" s="1423"/>
      <c r="S33" s="1421"/>
      <c r="T33" s="1423"/>
      <c r="U33" s="1421"/>
      <c r="V33" s="1423"/>
      <c r="W33" s="1421"/>
      <c r="X33" s="1423"/>
      <c r="Y33" s="1421"/>
      <c r="Z33" s="1423"/>
      <c r="AA33" s="1421"/>
      <c r="AB33" s="1423"/>
      <c r="AC33" s="1421"/>
      <c r="AD33" s="1423"/>
      <c r="AE33" s="1422"/>
      <c r="AF33" s="1323"/>
      <c r="AG33" s="1424"/>
    </row>
    <row r="34" spans="1:33" s="200" customFormat="1" ht="24" customHeight="1" thickBot="1">
      <c r="A34" s="1323"/>
      <c r="B34" s="1013" t="s">
        <v>223</v>
      </c>
      <c r="C34" s="1012"/>
      <c r="D34" s="1012"/>
      <c r="E34" s="1012"/>
      <c r="F34" s="1012"/>
      <c r="G34" s="1013"/>
      <c r="H34" s="1012"/>
      <c r="I34" s="1016"/>
      <c r="J34" s="1016"/>
      <c r="K34" s="1323"/>
      <c r="L34" s="1021"/>
      <c r="M34" s="1421"/>
      <c r="N34" s="1425"/>
      <c r="O34" s="1421"/>
      <c r="P34" s="1425"/>
      <c r="Q34" s="1421"/>
      <c r="R34" s="1425"/>
      <c r="S34" s="1421"/>
      <c r="T34" s="1425"/>
      <c r="U34" s="1421"/>
      <c r="V34" s="1425"/>
      <c r="W34" s="1421"/>
      <c r="X34" s="1425"/>
      <c r="Y34" s="1421"/>
      <c r="Z34" s="1425"/>
      <c r="AA34" s="1421"/>
      <c r="AB34" s="1425"/>
      <c r="AC34" s="1421"/>
      <c r="AD34" s="1425"/>
      <c r="AE34" s="1422"/>
      <c r="AF34" s="1323"/>
      <c r="AG34" s="1424"/>
    </row>
    <row r="35" spans="1:33" s="200" customFormat="1" ht="34.5" customHeight="1">
      <c r="A35" s="1323"/>
      <c r="B35" s="1343" t="s">
        <v>746</v>
      </c>
      <c r="C35" s="1344" t="s">
        <v>747</v>
      </c>
      <c r="D35" s="1345" t="s">
        <v>748</v>
      </c>
      <c r="E35" s="1345"/>
      <c r="F35" s="1345"/>
      <c r="G35" s="1346" t="s">
        <v>745</v>
      </c>
      <c r="H35" s="1347"/>
      <c r="I35" s="1016"/>
      <c r="J35" s="1323"/>
      <c r="K35" s="1017"/>
      <c r="L35" s="1021"/>
      <c r="M35" s="1421"/>
      <c r="N35" s="1423"/>
      <c r="O35" s="1421"/>
      <c r="P35" s="1423"/>
      <c r="Q35" s="1421"/>
      <c r="R35" s="1423"/>
      <c r="S35" s="1421"/>
      <c r="T35" s="1423"/>
      <c r="U35" s="1421"/>
      <c r="V35" s="1423"/>
      <c r="W35" s="1421"/>
      <c r="X35" s="1423"/>
      <c r="Y35" s="1421"/>
      <c r="Z35" s="1423"/>
      <c r="AA35" s="1421"/>
      <c r="AB35" s="1423"/>
      <c r="AC35" s="1421"/>
      <c r="AD35" s="1425"/>
      <c r="AE35" s="1422"/>
      <c r="AF35" s="1323"/>
      <c r="AG35" s="1424"/>
    </row>
    <row r="36" spans="1:33" s="200" customFormat="1" ht="24" customHeight="1" thickBot="1">
      <c r="A36" s="1323"/>
      <c r="B36" s="1348">
        <f>投資額!G35</f>
        <v>14636300</v>
      </c>
      <c r="C36" s="449" t="s">
        <v>163</v>
      </c>
      <c r="D36" s="1349">
        <f>投資額!H36</f>
        <v>32913300</v>
      </c>
      <c r="E36" s="1299" t="s">
        <v>534</v>
      </c>
      <c r="F36" s="1350">
        <f>IF(基本入力!C22=0,IF(AVERAGE(基本入力!E41,基本入力!I41,基本入力!L41,基本入力!O41,基本入力!R41,基本入力!U41,基本入力!X41,基本入力!AA41,基本入力!AD41)=0,係数!S52,IF(AVERAGE(基本入力!E41,基本入力!I41,基本入力!L41,基本入力!O41,基本入力!R41,基本入力!U41,基本入力!X41,基本入力!AA41,基本入力!AD41)=1,係数!S53,係数!S54)),1)</f>
        <v>0.46</v>
      </c>
      <c r="G36" s="711">
        <f>ROUND(B36/2+D36*F36/2,0)</f>
        <v>14888209</v>
      </c>
      <c r="H36" s="1331" t="s">
        <v>163</v>
      </c>
      <c r="I36" s="1016"/>
      <c r="J36" s="1016"/>
      <c r="K36" s="1023"/>
      <c r="L36" s="1021"/>
      <c r="M36" s="1421"/>
      <c r="N36" s="1423"/>
      <c r="O36" s="1421"/>
      <c r="P36" s="1423"/>
      <c r="Q36" s="1421"/>
      <c r="R36" s="1423"/>
      <c r="S36" s="1421"/>
      <c r="T36" s="1423"/>
      <c r="U36" s="1421"/>
      <c r="V36" s="1423"/>
      <c r="W36" s="1421"/>
      <c r="X36" s="1423"/>
      <c r="Y36" s="1421"/>
      <c r="Z36" s="1423"/>
      <c r="AA36" s="1421"/>
      <c r="AB36" s="1423"/>
      <c r="AC36" s="1421"/>
      <c r="AD36" s="1425"/>
      <c r="AE36" s="1422"/>
      <c r="AF36" s="1323"/>
      <c r="AG36" s="1424"/>
    </row>
    <row r="37" spans="1:33" s="200" customFormat="1" ht="22" customHeight="1" thickBot="1">
      <c r="A37" s="1323"/>
      <c r="B37" s="1013"/>
      <c r="C37" s="1012"/>
      <c r="D37" s="1012"/>
      <c r="E37" s="1012"/>
      <c r="F37" s="1012"/>
      <c r="G37" s="1013"/>
      <c r="H37" s="1012"/>
      <c r="I37" s="1805"/>
      <c r="J37" s="1805"/>
      <c r="K37" s="1017"/>
      <c r="L37" s="1017"/>
      <c r="M37" s="1017"/>
      <c r="N37" s="1017"/>
      <c r="O37" s="1017"/>
      <c r="P37" s="1017"/>
      <c r="Q37" s="1017"/>
      <c r="R37" s="1017"/>
      <c r="S37" s="1017"/>
      <c r="T37" s="1017"/>
      <c r="U37" s="1017"/>
      <c r="V37" s="1323"/>
      <c r="W37" s="1323"/>
      <c r="X37" s="1323"/>
      <c r="Y37" s="1323"/>
      <c r="Z37" s="1323"/>
      <c r="AA37" s="1323"/>
      <c r="AB37" s="1323"/>
      <c r="AC37" s="1323"/>
      <c r="AD37" s="197"/>
      <c r="AE37" s="197"/>
      <c r="AF37" s="1426" t="s">
        <v>549</v>
      </c>
      <c r="AG37" s="1482">
        <f>SUM(AG26:AG36)</f>
        <v>363619</v>
      </c>
    </row>
    <row r="38" spans="1:33" s="200" customFormat="1" ht="33" customHeight="1">
      <c r="A38" s="1323"/>
      <c r="B38" s="1351" t="s">
        <v>707</v>
      </c>
      <c r="C38" s="1352" t="s">
        <v>750</v>
      </c>
      <c r="D38" s="1352"/>
      <c r="E38" s="1352"/>
      <c r="F38" s="1352"/>
      <c r="G38" s="1353" t="s">
        <v>749</v>
      </c>
      <c r="H38" s="1354"/>
      <c r="I38" s="1804"/>
      <c r="J38" s="1804"/>
      <c r="K38" s="1017"/>
      <c r="L38" s="1017"/>
      <c r="M38" s="1017"/>
      <c r="N38" s="1017"/>
      <c r="O38" s="1017"/>
      <c r="P38" s="1017"/>
      <c r="Q38" s="1017"/>
      <c r="R38" s="1017"/>
      <c r="S38" s="1017"/>
      <c r="T38" s="1017"/>
      <c r="U38" s="1017"/>
      <c r="V38" s="1323"/>
      <c r="W38" s="1323"/>
      <c r="X38" s="1323"/>
      <c r="Y38" s="1323"/>
      <c r="Z38" s="1323"/>
      <c r="AA38" s="1323"/>
      <c r="AB38" s="1323"/>
      <c r="AC38" s="1323"/>
      <c r="AD38" s="197"/>
      <c r="AE38" s="197"/>
      <c r="AF38" s="1426"/>
      <c r="AG38" s="197">
        <f>(AG25+AG37)*1.05</f>
        <v>599122.65</v>
      </c>
    </row>
    <row r="39" spans="1:33" s="200" customFormat="1" ht="24" customHeight="1" thickBot="1">
      <c r="A39" s="1323"/>
      <c r="B39" s="1336">
        <f>G36</f>
        <v>14888209</v>
      </c>
      <c r="C39" s="449" t="s">
        <v>163</v>
      </c>
      <c r="D39" s="1806">
        <f>IF(B39&gt;0,係数!S41,"－")</f>
        <v>1.4E-2</v>
      </c>
      <c r="E39" s="1839"/>
      <c r="F39" s="1840"/>
      <c r="G39" s="711">
        <f>ROUND(B39*D39,0)</f>
        <v>208435</v>
      </c>
      <c r="H39" s="1331" t="s">
        <v>163</v>
      </c>
      <c r="I39" s="1016"/>
      <c r="J39" s="1016"/>
      <c r="K39" s="1017"/>
      <c r="L39" s="1017"/>
      <c r="M39" s="1017"/>
      <c r="N39" s="1017"/>
      <c r="O39" s="1017"/>
      <c r="P39" s="1017"/>
      <c r="Q39" s="1017"/>
      <c r="R39" s="1017"/>
      <c r="S39" s="1017"/>
      <c r="T39" s="1017"/>
      <c r="U39" s="1323"/>
      <c r="V39" s="1323"/>
      <c r="W39" s="1323"/>
      <c r="X39" s="1323"/>
      <c r="Y39" s="1323"/>
      <c r="Z39" s="1323"/>
      <c r="AA39" s="1323"/>
      <c r="AB39" s="1323"/>
      <c r="AC39" s="1323"/>
      <c r="AD39" s="197"/>
      <c r="AE39" s="197"/>
      <c r="AF39" s="197"/>
      <c r="AG39" s="197"/>
    </row>
    <row r="40" spans="1:33" s="200" customFormat="1" ht="22" customHeight="1" thickBot="1">
      <c r="A40" s="1323"/>
      <c r="B40" s="1013"/>
      <c r="C40" s="1012"/>
      <c r="D40" s="1012"/>
      <c r="E40" s="1012"/>
      <c r="F40" s="1012"/>
      <c r="G40" s="1013"/>
      <c r="H40" s="1012"/>
      <c r="I40" s="1016"/>
      <c r="J40" s="1016"/>
      <c r="K40" s="1017"/>
      <c r="L40" s="1017"/>
      <c r="M40" s="1017"/>
      <c r="N40" s="1017"/>
      <c r="O40" s="1017"/>
      <c r="P40" s="1017"/>
      <c r="Q40" s="1017"/>
      <c r="R40" s="1017"/>
      <c r="S40" s="1017"/>
      <c r="T40" s="1017"/>
      <c r="U40" s="1323"/>
      <c r="V40" s="1323"/>
      <c r="W40" s="1323"/>
      <c r="X40" s="1323"/>
      <c r="Y40" s="1323"/>
      <c r="Z40" s="1323"/>
      <c r="AA40" s="1323"/>
      <c r="AB40" s="1323"/>
      <c r="AC40" s="1323"/>
      <c r="AD40" s="197"/>
      <c r="AE40" s="197"/>
      <c r="AF40" s="197"/>
      <c r="AG40" s="197"/>
    </row>
    <row r="41" spans="1:33" s="200" customFormat="1" ht="24" customHeight="1" thickBot="1">
      <c r="A41" s="1323"/>
      <c r="B41" s="1815" t="s">
        <v>740</v>
      </c>
      <c r="C41" s="1841"/>
      <c r="D41" s="1841"/>
      <c r="E41" s="1841"/>
      <c r="F41" s="1842"/>
      <c r="G41" s="1339">
        <f>G33+G39</f>
        <v>208435</v>
      </c>
      <c r="H41" s="1340" t="s">
        <v>163</v>
      </c>
      <c r="I41" s="1016"/>
      <c r="J41" s="1323"/>
      <c r="K41" s="1017"/>
      <c r="L41" s="1017" t="s">
        <v>224</v>
      </c>
      <c r="M41" s="1017"/>
      <c r="N41" s="1017"/>
      <c r="O41" s="1017"/>
      <c r="P41" s="1017"/>
      <c r="Q41" s="1017"/>
      <c r="R41" s="1017"/>
      <c r="S41" s="1017"/>
      <c r="T41" s="1017"/>
      <c r="U41" s="1323"/>
      <c r="V41" s="1323"/>
      <c r="W41" s="1323"/>
      <c r="X41" s="1323"/>
      <c r="Y41" s="1323"/>
      <c r="Z41" s="1323"/>
      <c r="AA41" s="1323"/>
      <c r="AB41" s="1323"/>
      <c r="AC41" s="1323"/>
      <c r="AD41" s="197"/>
      <c r="AE41" s="197"/>
      <c r="AF41" s="197"/>
      <c r="AG41" s="197"/>
    </row>
    <row r="42" spans="1:33" s="200" customFormat="1" ht="22" customHeight="1">
      <c r="A42" s="1323"/>
      <c r="B42" s="1356"/>
      <c r="C42" s="1015"/>
      <c r="D42" s="1012"/>
      <c r="E42" s="1012"/>
      <c r="F42" s="1012"/>
      <c r="G42" s="1013"/>
      <c r="H42" s="1012"/>
      <c r="I42" s="1016"/>
      <c r="J42" s="1323"/>
      <c r="K42" s="1017"/>
      <c r="L42" s="1017"/>
      <c r="M42" s="1355" t="s">
        <v>111</v>
      </c>
      <c r="N42" s="1355" t="s">
        <v>114</v>
      </c>
      <c r="O42" s="1017"/>
      <c r="P42" s="1017"/>
      <c r="Q42" s="1017"/>
      <c r="R42" s="1017"/>
      <c r="S42" s="1017"/>
      <c r="T42" s="1017"/>
      <c r="U42" s="1323"/>
      <c r="V42" s="1323"/>
      <c r="W42" s="1323"/>
      <c r="X42" s="1323"/>
      <c r="Y42" s="1323"/>
      <c r="Z42" s="1323"/>
      <c r="AA42" s="1323"/>
      <c r="AB42" s="1323"/>
      <c r="AC42" s="1323"/>
      <c r="AD42" s="197"/>
      <c r="AE42" s="197"/>
      <c r="AF42" s="197"/>
      <c r="AG42" s="197"/>
    </row>
    <row r="43" spans="1:33" s="200" customFormat="1" ht="24" customHeight="1" thickBot="1">
      <c r="A43" s="1323"/>
      <c r="B43" s="1812" t="s">
        <v>741</v>
      </c>
      <c r="C43" s="1812"/>
      <c r="D43" s="1812"/>
      <c r="E43" s="1812"/>
      <c r="F43" s="1812"/>
      <c r="G43" s="1812"/>
      <c r="H43" s="1812"/>
      <c r="I43" s="1016"/>
      <c r="J43" s="1323"/>
      <c r="K43" s="1017"/>
      <c r="L43" s="1017" t="s">
        <v>107</v>
      </c>
      <c r="M43" s="1357">
        <f>基本入力!D25*係数!D70</f>
        <v>171500</v>
      </c>
      <c r="N43" s="1357">
        <f>基本入力!D26*係数!E70</f>
        <v>0</v>
      </c>
      <c r="O43" s="1017"/>
      <c r="P43" s="1017"/>
      <c r="Q43" s="1017"/>
      <c r="R43" s="1017"/>
      <c r="S43" s="1017"/>
      <c r="T43" s="1017"/>
      <c r="U43" s="1323"/>
      <c r="V43" s="1323"/>
      <c r="W43" s="1323"/>
      <c r="X43" s="1323"/>
      <c r="Y43" s="1323"/>
      <c r="Z43" s="1323"/>
      <c r="AA43" s="1323"/>
      <c r="AB43" s="1323"/>
      <c r="AC43" s="1323"/>
      <c r="AD43" s="197"/>
      <c r="AE43" s="197"/>
      <c r="AF43" s="197"/>
      <c r="AG43" s="197"/>
    </row>
    <row r="44" spans="1:33" s="200" customFormat="1" ht="45.75" customHeight="1">
      <c r="A44" s="1323"/>
      <c r="B44" s="1351" t="s">
        <v>1234</v>
      </c>
      <c r="C44" s="1832" t="s">
        <v>1233</v>
      </c>
      <c r="D44" s="1832"/>
      <c r="E44" s="1868" t="s">
        <v>1235</v>
      </c>
      <c r="F44" s="1868"/>
      <c r="G44" s="1868"/>
      <c r="H44" s="1869"/>
      <c r="I44" s="1016"/>
      <c r="J44" s="1323"/>
      <c r="K44" s="1017"/>
      <c r="L44" s="1017" t="s">
        <v>108</v>
      </c>
      <c r="M44" s="1357">
        <f>基本入力!E25*係数!D71</f>
        <v>0</v>
      </c>
      <c r="N44" s="1357">
        <f>基本入力!E26*係数!E71</f>
        <v>0</v>
      </c>
      <c r="O44" s="1017"/>
      <c r="P44" s="1017"/>
      <c r="Q44" s="1017"/>
      <c r="R44" s="1017"/>
      <c r="S44" s="1017"/>
      <c r="T44" s="1017"/>
      <c r="U44" s="1323"/>
      <c r="V44" s="1323"/>
      <c r="W44" s="1323"/>
      <c r="X44" s="1323"/>
      <c r="Y44" s="1323"/>
      <c r="Z44" s="1323"/>
      <c r="AA44" s="1323"/>
      <c r="AB44" s="1323"/>
      <c r="AC44" s="1323"/>
      <c r="AD44" s="197"/>
      <c r="AE44" s="197"/>
      <c r="AF44" s="197"/>
      <c r="AG44" s="197"/>
    </row>
    <row r="45" spans="1:33" s="200" customFormat="1" ht="24" customHeight="1" thickBot="1">
      <c r="A45" s="1323"/>
      <c r="B45" s="1336">
        <f>G88</f>
        <v>1554872</v>
      </c>
      <c r="C45" s="449" t="s">
        <v>163</v>
      </c>
      <c r="D45" s="1550">
        <f>IF(B45&gt;0,係数!S45,"－")</f>
        <v>0.35</v>
      </c>
      <c r="E45" s="1821">
        <f>IF(B45&gt;0,係数!S42/(1-係数!S42),"－")</f>
        <v>9.081735620585266E-3</v>
      </c>
      <c r="F45" s="1822"/>
      <c r="G45" s="711">
        <f>ROUND(B45*D45*E45,0)</f>
        <v>4942</v>
      </c>
      <c r="H45" s="1331" t="s">
        <v>163</v>
      </c>
      <c r="I45" s="1016"/>
      <c r="J45" s="1323"/>
      <c r="K45" s="1017"/>
      <c r="L45" s="1017" t="s">
        <v>109</v>
      </c>
      <c r="M45" s="1357">
        <f>基本入力!F25*係数!D72</f>
        <v>0</v>
      </c>
      <c r="N45" s="1357">
        <f>基本入力!F26*係数!E72</f>
        <v>0</v>
      </c>
      <c r="O45" s="1017"/>
      <c r="P45" s="1017"/>
      <c r="Q45" s="1017"/>
      <c r="R45" s="1017"/>
      <c r="S45" s="1017"/>
      <c r="T45" s="1017"/>
      <c r="U45" s="1323"/>
      <c r="V45" s="1323"/>
      <c r="W45" s="1323"/>
      <c r="X45" s="1323"/>
      <c r="Y45" s="1323"/>
      <c r="Z45" s="1323"/>
      <c r="AA45" s="1323"/>
      <c r="AB45" s="1323"/>
      <c r="AC45" s="1323"/>
      <c r="AD45" s="197"/>
      <c r="AE45" s="197"/>
      <c r="AF45" s="197"/>
      <c r="AG45" s="197"/>
    </row>
    <row r="46" spans="1:33" s="200" customFormat="1" ht="22" customHeight="1">
      <c r="A46" s="1323"/>
      <c r="B46" s="1013"/>
      <c r="C46" s="1012"/>
      <c r="D46" s="1012"/>
      <c r="E46" s="1012"/>
      <c r="F46" s="1548"/>
      <c r="G46" s="1549"/>
      <c r="H46" s="1012"/>
      <c r="I46" s="1016"/>
      <c r="J46" s="1547"/>
      <c r="K46" s="1017"/>
      <c r="L46" s="1017"/>
      <c r="M46" s="1017"/>
      <c r="N46" s="1017"/>
      <c r="O46" s="1017"/>
      <c r="P46" s="1017"/>
      <c r="Q46" s="1017"/>
      <c r="R46" s="1017"/>
      <c r="S46" s="1017"/>
      <c r="T46" s="1017"/>
      <c r="U46" s="1323"/>
      <c r="V46" s="1323"/>
      <c r="W46" s="1323"/>
      <c r="X46" s="1323"/>
      <c r="Y46" s="1323"/>
      <c r="Z46" s="1323"/>
      <c r="AA46" s="1323"/>
      <c r="AB46" s="1323"/>
      <c r="AC46" s="1323"/>
      <c r="AD46" s="197"/>
      <c r="AE46" s="197"/>
      <c r="AF46" s="197"/>
      <c r="AG46" s="197"/>
    </row>
    <row r="47" spans="1:33" s="200" customFormat="1" ht="24" customHeight="1" thickBot="1">
      <c r="A47" s="1323"/>
      <c r="B47" s="1812" t="s">
        <v>678</v>
      </c>
      <c r="C47" s="1812"/>
      <c r="D47" s="1812"/>
      <c r="E47" s="1812"/>
      <c r="F47" s="1812"/>
      <c r="G47" s="1812"/>
      <c r="H47" s="1812"/>
      <c r="I47" s="1016"/>
      <c r="J47" s="1016"/>
      <c r="K47" s="1017"/>
      <c r="L47" s="1017"/>
      <c r="M47" s="1017"/>
      <c r="N47" s="1017"/>
      <c r="O47" s="1017"/>
      <c r="P47" s="1017"/>
      <c r="Q47" s="1017"/>
      <c r="R47" s="1017"/>
      <c r="S47" s="1017"/>
      <c r="T47" s="1017"/>
      <c r="U47" s="1323"/>
      <c r="V47" s="1323"/>
      <c r="W47" s="1323"/>
      <c r="X47" s="1323"/>
      <c r="Y47" s="1323"/>
      <c r="Z47" s="1323"/>
      <c r="AA47" s="1323"/>
      <c r="AB47" s="1323"/>
      <c r="AC47" s="1323"/>
      <c r="AD47" s="197"/>
      <c r="AE47" s="197"/>
      <c r="AF47" s="197"/>
      <c r="AG47" s="197"/>
    </row>
    <row r="48" spans="1:33" s="200" customFormat="1" ht="24" customHeight="1">
      <c r="A48" s="1323"/>
      <c r="B48" s="1829" t="s">
        <v>797</v>
      </c>
      <c r="C48" s="1830"/>
      <c r="D48" s="1830"/>
      <c r="E48" s="1830"/>
      <c r="F48" s="1830"/>
      <c r="G48" s="1830"/>
      <c r="H48" s="1831"/>
      <c r="I48" s="1016"/>
      <c r="J48" s="1016"/>
      <c r="K48" s="1017"/>
      <c r="L48" s="1017"/>
      <c r="M48" s="1017"/>
      <c r="N48" s="1017"/>
      <c r="O48" s="1017"/>
      <c r="P48" s="1017"/>
      <c r="Q48" s="1017"/>
      <c r="R48" s="1017"/>
      <c r="S48" s="1017"/>
      <c r="T48" s="1017"/>
      <c r="U48" s="1323"/>
      <c r="V48" s="1323"/>
      <c r="W48" s="1323"/>
      <c r="X48" s="1323"/>
      <c r="Y48" s="1323"/>
      <c r="Z48" s="1323"/>
      <c r="AA48" s="1323"/>
      <c r="AB48" s="1323"/>
      <c r="AC48" s="1323"/>
      <c r="AD48" s="197"/>
      <c r="AE48" s="197"/>
      <c r="AF48" s="197"/>
      <c r="AG48" s="197"/>
    </row>
    <row r="49" spans="1:44" s="200" customFormat="1" ht="24" customHeight="1" thickBot="1">
      <c r="A49" s="1323"/>
      <c r="B49" s="1348">
        <f>IF(SUM(基本入力!D25:F26)=0,0,IF(COUNT(基本入力!D25:F26)=1,ROUND(G49/D49,0),"（混在）    "))</f>
        <v>700</v>
      </c>
      <c r="C49" s="1358" t="s">
        <v>163</v>
      </c>
      <c r="D49" s="1881">
        <f>SUM(基本入力!D25:F26)</f>
        <v>245</v>
      </c>
      <c r="E49" s="1882"/>
      <c r="F49" s="1883"/>
      <c r="G49" s="711">
        <f>SUM(M43:N45)</f>
        <v>171500</v>
      </c>
      <c r="H49" s="1331" t="s">
        <v>163</v>
      </c>
      <c r="I49" s="1016"/>
      <c r="J49" s="1016"/>
      <c r="K49" s="1017"/>
      <c r="L49" s="1017"/>
      <c r="M49" s="1017"/>
      <c r="N49" s="1017"/>
      <c r="O49" s="1017"/>
      <c r="P49" s="1017"/>
      <c r="Q49" s="1017"/>
      <c r="R49" s="1017"/>
      <c r="S49" s="1017"/>
      <c r="T49" s="1017"/>
      <c r="U49" s="1323"/>
      <c r="V49" s="1323"/>
      <c r="W49" s="1323"/>
      <c r="X49" s="1323"/>
      <c r="Y49" s="1323"/>
      <c r="Z49" s="1323"/>
      <c r="AA49" s="1323"/>
      <c r="AB49" s="1323"/>
      <c r="AC49" s="1323"/>
      <c r="AD49" s="197"/>
      <c r="AE49" s="197"/>
      <c r="AF49" s="197"/>
      <c r="AG49" s="197"/>
    </row>
    <row r="50" spans="1:44" s="200" customFormat="1" ht="22" customHeight="1">
      <c r="A50" s="1323"/>
      <c r="B50" s="239"/>
      <c r="C50" s="239"/>
      <c r="D50" s="239"/>
      <c r="E50" s="239"/>
      <c r="F50" s="239"/>
      <c r="G50" s="239"/>
      <c r="H50" s="239"/>
      <c r="I50" s="1016"/>
      <c r="J50" s="1016"/>
      <c r="K50" s="1323"/>
      <c r="L50" s="1323" t="s">
        <v>226</v>
      </c>
      <c r="M50" s="1323"/>
      <c r="N50" s="1323"/>
      <c r="O50" s="1323"/>
      <c r="P50" s="1323"/>
      <c r="Q50" s="1323"/>
      <c r="R50" s="1323"/>
      <c r="S50" s="1323"/>
      <c r="T50" s="1323"/>
      <c r="U50" s="1323"/>
      <c r="V50" s="1323"/>
      <c r="W50" s="1323"/>
      <c r="X50" s="1323"/>
      <c r="Y50" s="1323"/>
      <c r="Z50" s="1323"/>
      <c r="AA50" s="1323"/>
      <c r="AB50" s="1323"/>
      <c r="AC50" s="1323"/>
      <c r="AD50" s="197"/>
      <c r="AE50" s="197"/>
      <c r="AF50" s="197"/>
      <c r="AG50" s="197"/>
    </row>
    <row r="51" spans="1:44" s="200" customFormat="1" ht="24" customHeight="1" thickBot="1">
      <c r="A51" s="197"/>
      <c r="B51" s="1828" t="s">
        <v>225</v>
      </c>
      <c r="C51" s="1828"/>
      <c r="D51" s="1828"/>
      <c r="E51" s="1828"/>
      <c r="F51" s="1828"/>
      <c r="G51" s="1828"/>
      <c r="H51" s="1828"/>
      <c r="I51" s="202"/>
      <c r="J51" s="202"/>
      <c r="K51" s="197"/>
      <c r="L51" s="197" t="s">
        <v>227</v>
      </c>
      <c r="M51" s="203" t="s">
        <v>228</v>
      </c>
      <c r="N51" s="204">
        <f>SUM(投資額!H28:H31)</f>
        <v>30301600</v>
      </c>
      <c r="O51" s="197"/>
      <c r="P51" s="197" t="s">
        <v>229</v>
      </c>
      <c r="Q51" s="203" t="s">
        <v>228</v>
      </c>
      <c r="R51" s="204">
        <f>投資額!H26</f>
        <v>2611700</v>
      </c>
      <c r="S51" s="197"/>
      <c r="T51" s="197" t="s">
        <v>230</v>
      </c>
      <c r="U51" s="197"/>
      <c r="V51" s="197"/>
      <c r="W51" s="197"/>
      <c r="X51" s="197"/>
      <c r="Y51" s="197"/>
      <c r="Z51" s="197"/>
      <c r="AA51" s="197"/>
      <c r="AB51" s="197"/>
      <c r="AC51" s="197"/>
      <c r="AD51" s="197"/>
      <c r="AE51" s="197"/>
      <c r="AF51" s="197"/>
      <c r="AG51" s="197"/>
    </row>
    <row r="52" spans="1:44" s="200" customFormat="1" ht="24" customHeight="1">
      <c r="A52" s="197"/>
      <c r="B52" s="1870" t="s">
        <v>687</v>
      </c>
      <c r="C52" s="1871"/>
      <c r="D52" s="1871"/>
      <c r="E52" s="1871"/>
      <c r="F52" s="1871"/>
      <c r="G52" s="1871"/>
      <c r="H52" s="1872"/>
      <c r="I52" s="202"/>
      <c r="J52" s="197"/>
      <c r="K52" s="197"/>
      <c r="L52" s="205" t="s">
        <v>231</v>
      </c>
      <c r="M52" s="197" t="s">
        <v>232</v>
      </c>
      <c r="N52" s="197" t="s">
        <v>233</v>
      </c>
      <c r="O52" s="197"/>
      <c r="P52" s="205" t="s">
        <v>231</v>
      </c>
      <c r="Q52" s="197" t="s">
        <v>232</v>
      </c>
      <c r="R52" s="197" t="s">
        <v>233</v>
      </c>
      <c r="S52" s="205"/>
      <c r="T52" s="291">
        <f>ROUND((SUM(N54:N66)+SUM(R54:R63))/(SUM(M54:M66)+SUM(Q54:Q63)),2)</f>
        <v>0.47</v>
      </c>
      <c r="U52" s="197"/>
      <c r="V52" s="197"/>
      <c r="W52" s="197"/>
      <c r="X52" s="197"/>
      <c r="Y52" s="197"/>
      <c r="Z52" s="197"/>
      <c r="AA52" s="197"/>
      <c r="AB52" s="197"/>
      <c r="AC52" s="197"/>
      <c r="AD52" s="197"/>
      <c r="AE52" s="197"/>
      <c r="AF52" s="197"/>
      <c r="AG52" s="197"/>
    </row>
    <row r="53" spans="1:44" s="200" customFormat="1" ht="24" customHeight="1" thickBot="1">
      <c r="A53" s="197"/>
      <c r="B53" s="1336">
        <f>投資額!G37-投資額!G34</f>
        <v>45366650</v>
      </c>
      <c r="C53" s="449" t="s">
        <v>163</v>
      </c>
      <c r="D53" s="1860">
        <f>IF(N71="混在",G53/B53,N71)</f>
        <v>8.0222343946489333E-2</v>
      </c>
      <c r="E53" s="1861"/>
      <c r="F53" s="1862"/>
      <c r="G53" s="711">
        <f>ROUND(IF(N71&lt;&gt;"混在",B53*N71,SUM(N72:N79)),0)</f>
        <v>3639419</v>
      </c>
      <c r="H53" s="1331" t="s">
        <v>163</v>
      </c>
      <c r="I53" s="202"/>
      <c r="J53" s="197"/>
      <c r="K53" s="203" t="s">
        <v>782</v>
      </c>
      <c r="L53" s="278">
        <v>0.16200000000000001</v>
      </c>
      <c r="M53" s="279" t="s">
        <v>783</v>
      </c>
      <c r="N53" s="280">
        <v>7.5999999999999998E-2</v>
      </c>
      <c r="O53" s="203" t="s">
        <v>782</v>
      </c>
      <c r="P53" s="278">
        <v>0.20599999999999999</v>
      </c>
      <c r="Q53" s="279" t="s">
        <v>783</v>
      </c>
      <c r="R53" s="280">
        <v>0.1</v>
      </c>
      <c r="S53" s="205"/>
      <c r="T53" s="197"/>
      <c r="U53" s="197"/>
      <c r="V53" s="197"/>
      <c r="W53" s="197"/>
      <c r="X53" s="197"/>
      <c r="Y53" s="197"/>
      <c r="Z53" s="197"/>
      <c r="AA53" s="197"/>
      <c r="AB53" s="197"/>
      <c r="AC53" s="197"/>
      <c r="AD53" s="197"/>
      <c r="AE53" s="197"/>
      <c r="AF53" s="197"/>
      <c r="AG53" s="197"/>
    </row>
    <row r="54" spans="1:44" s="200" customFormat="1" ht="22" customHeight="1" thickBot="1">
      <c r="A54" s="197"/>
      <c r="B54" s="1013"/>
      <c r="C54" s="1012"/>
      <c r="D54" s="1359"/>
      <c r="E54" s="1360"/>
      <c r="F54" s="1360"/>
      <c r="G54" s="1013"/>
      <c r="H54" s="1012"/>
      <c r="I54" s="1016"/>
      <c r="J54" s="1323"/>
      <c r="K54" s="1323" t="s">
        <v>235</v>
      </c>
      <c r="L54" s="1323">
        <f>ROUND(N51*N53,0)</f>
        <v>2302922</v>
      </c>
      <c r="M54" s="201">
        <f>N51-L54</f>
        <v>27998678</v>
      </c>
      <c r="N54" s="197">
        <f>ROUND(M54/3,0)</f>
        <v>9332893</v>
      </c>
      <c r="O54" s="197"/>
      <c r="P54" s="1323">
        <f>ROUND(R51*R53,0)</f>
        <v>261170</v>
      </c>
      <c r="Q54" s="197">
        <f>R51-P54</f>
        <v>2350530</v>
      </c>
      <c r="R54" s="197">
        <f>ROUND(Q54/3,0)</f>
        <v>783510</v>
      </c>
      <c r="S54" s="203"/>
      <c r="T54" s="197"/>
      <c r="U54" s="197"/>
      <c r="V54" s="197"/>
      <c r="W54" s="197"/>
      <c r="X54" s="197"/>
      <c r="Y54" s="197"/>
      <c r="Z54" s="197"/>
      <c r="AA54" s="197"/>
      <c r="AB54" s="197"/>
      <c r="AC54" s="197"/>
      <c r="AD54" s="197"/>
      <c r="AE54" s="197"/>
      <c r="AF54" s="197"/>
      <c r="AG54" s="197"/>
    </row>
    <row r="55" spans="1:44" s="200" customFormat="1" ht="24" customHeight="1">
      <c r="A55" s="197"/>
      <c r="B55" s="1814" t="s">
        <v>742</v>
      </c>
      <c r="C55" s="1809"/>
      <c r="D55" s="1809"/>
      <c r="E55" s="1809"/>
      <c r="F55" s="1809"/>
      <c r="G55" s="1809"/>
      <c r="H55" s="1810"/>
      <c r="I55" s="1016"/>
      <c r="J55" s="1016"/>
      <c r="K55" s="1323" t="s">
        <v>236</v>
      </c>
      <c r="L55" s="1323">
        <f>$L54</f>
        <v>2302922</v>
      </c>
      <c r="M55" s="197">
        <f t="shared" ref="M55:M66" si="11">M54-L55</f>
        <v>25695756</v>
      </c>
      <c r="N55" s="197">
        <f>ROUND(M55/3,0)</f>
        <v>8565252</v>
      </c>
      <c r="O55" s="197"/>
      <c r="P55" s="197">
        <f>$P54</f>
        <v>261170</v>
      </c>
      <c r="Q55" s="197">
        <f t="shared" ref="Q55:Q63" si="12">Q54-P55</f>
        <v>2089360</v>
      </c>
      <c r="R55" s="197">
        <f>ROUND(Q55/3,0)</f>
        <v>696453</v>
      </c>
      <c r="S55" s="203"/>
      <c r="T55" s="197"/>
      <c r="U55" s="197"/>
      <c r="V55" s="197"/>
      <c r="W55" s="197"/>
      <c r="X55" s="197"/>
      <c r="Y55" s="197"/>
      <c r="Z55" s="197"/>
      <c r="AA55" s="197"/>
      <c r="AB55" s="197"/>
      <c r="AC55" s="197"/>
      <c r="AD55" s="197"/>
      <c r="AE55" s="197"/>
      <c r="AF55" s="197"/>
      <c r="AG55" s="197"/>
    </row>
    <row r="56" spans="1:44" s="200" customFormat="1" ht="24" customHeight="1" thickBot="1">
      <c r="A56" s="197"/>
      <c r="B56" s="1336">
        <f>投資額!G34</f>
        <v>2182950</v>
      </c>
      <c r="C56" s="449" t="s">
        <v>163</v>
      </c>
      <c r="D56" s="1818">
        <f>IF(B56&gt;0,係数!S43,"－")</f>
        <v>0.2</v>
      </c>
      <c r="E56" s="1819"/>
      <c r="F56" s="1820"/>
      <c r="G56" s="711">
        <f>IF(B56=0,0,ROUND(B56*D56,0))</f>
        <v>436590</v>
      </c>
      <c r="H56" s="1331" t="s">
        <v>163</v>
      </c>
      <c r="I56" s="1016"/>
      <c r="J56" s="1016"/>
      <c r="K56" s="1323" t="s">
        <v>237</v>
      </c>
      <c r="L56" s="1323">
        <f t="shared" ref="L56:L66" si="13">$L55</f>
        <v>2302922</v>
      </c>
      <c r="M56" s="197">
        <f t="shared" si="11"/>
        <v>23392834</v>
      </c>
      <c r="N56" s="197">
        <f>ROUND(M56/3,0)</f>
        <v>7797611</v>
      </c>
      <c r="O56" s="197"/>
      <c r="P56" s="197">
        <f t="shared" ref="P56:P63" si="14">$P55</f>
        <v>261170</v>
      </c>
      <c r="Q56" s="197">
        <f t="shared" si="12"/>
        <v>1828190</v>
      </c>
      <c r="R56" s="197">
        <f>ROUND(Q56/3,0)</f>
        <v>609397</v>
      </c>
      <c r="S56" s="203"/>
      <c r="T56" s="197"/>
      <c r="U56" s="197"/>
      <c r="V56" s="197"/>
      <c r="W56" s="197"/>
      <c r="X56" s="197"/>
      <c r="Y56" s="197"/>
      <c r="Z56" s="197"/>
      <c r="AA56" s="197"/>
      <c r="AB56" s="197"/>
      <c r="AC56" s="197"/>
      <c r="AD56" s="197"/>
      <c r="AE56" s="197"/>
      <c r="AF56" s="197"/>
      <c r="AG56" s="197"/>
    </row>
    <row r="57" spans="1:44" s="200" customFormat="1" ht="22" customHeight="1" thickBot="1">
      <c r="A57" s="197"/>
      <c r="B57" s="1013"/>
      <c r="C57" s="1012"/>
      <c r="D57" s="1012"/>
      <c r="E57" s="1012"/>
      <c r="F57" s="1012"/>
      <c r="G57" s="1013"/>
      <c r="H57" s="1012"/>
      <c r="I57" s="1016"/>
      <c r="J57" s="1323"/>
      <c r="K57" s="1323" t="s">
        <v>238</v>
      </c>
      <c r="L57" s="1323">
        <f t="shared" si="13"/>
        <v>2302922</v>
      </c>
      <c r="M57" s="197">
        <f t="shared" si="11"/>
        <v>21089912</v>
      </c>
      <c r="N57" s="197">
        <f>ROUND(M57/3,0)</f>
        <v>7029971</v>
      </c>
      <c r="O57" s="197"/>
      <c r="P57" s="197">
        <f t="shared" si="14"/>
        <v>261170</v>
      </c>
      <c r="Q57" s="197">
        <f t="shared" si="12"/>
        <v>1567020</v>
      </c>
      <c r="R57" s="197">
        <f>ROUND(Q57/3,0)</f>
        <v>522340</v>
      </c>
      <c r="S57" s="203"/>
      <c r="T57" s="197"/>
      <c r="U57" s="197"/>
      <c r="V57" s="197"/>
      <c r="W57" s="197"/>
      <c r="X57" s="197"/>
      <c r="Y57" s="197"/>
      <c r="Z57" s="197"/>
      <c r="AA57" s="197"/>
      <c r="AB57" s="197"/>
      <c r="AC57" s="197"/>
      <c r="AD57" s="197"/>
      <c r="AE57" s="197"/>
      <c r="AF57" s="197"/>
      <c r="AG57" s="197"/>
    </row>
    <row r="58" spans="1:44" s="200" customFormat="1" ht="24" customHeight="1" thickBot="1">
      <c r="A58" s="197"/>
      <c r="B58" s="1815" t="s">
        <v>743</v>
      </c>
      <c r="C58" s="1816"/>
      <c r="D58" s="1816"/>
      <c r="E58" s="1816"/>
      <c r="F58" s="1817"/>
      <c r="G58" s="1339">
        <f>G53+G56</f>
        <v>4076009</v>
      </c>
      <c r="H58" s="1340" t="s">
        <v>163</v>
      </c>
      <c r="I58" s="1016"/>
      <c r="J58" s="1323"/>
      <c r="K58" s="1323" t="s">
        <v>239</v>
      </c>
      <c r="L58" s="1323">
        <f t="shared" si="13"/>
        <v>2302922</v>
      </c>
      <c r="M58" s="197">
        <f t="shared" si="11"/>
        <v>18786990</v>
      </c>
      <c r="N58" s="197">
        <f>ROUND(M58/3,0)</f>
        <v>6262330</v>
      </c>
      <c r="O58" s="197"/>
      <c r="P58" s="197">
        <f t="shared" si="14"/>
        <v>261170</v>
      </c>
      <c r="Q58" s="197">
        <f t="shared" si="12"/>
        <v>1305850</v>
      </c>
      <c r="R58" s="197">
        <f>ROUND(Q58/3,0)</f>
        <v>435283</v>
      </c>
      <c r="S58" s="203"/>
      <c r="T58" s="197"/>
      <c r="U58" s="197"/>
      <c r="V58" s="197"/>
      <c r="W58" s="197"/>
      <c r="X58" s="197"/>
      <c r="Y58" s="197"/>
      <c r="Z58" s="197"/>
      <c r="AA58" s="197"/>
      <c r="AB58" s="197"/>
      <c r="AC58" s="197"/>
      <c r="AD58" s="197"/>
      <c r="AE58" s="197"/>
      <c r="AF58" s="197"/>
      <c r="AG58" s="197"/>
    </row>
    <row r="59" spans="1:44" s="200" customFormat="1" ht="24" customHeight="1">
      <c r="A59" s="197"/>
      <c r="B59" s="1338"/>
      <c r="C59" s="1338"/>
      <c r="D59" s="1338"/>
      <c r="E59" s="1338"/>
      <c r="F59" s="1338"/>
      <c r="G59" s="1338"/>
      <c r="H59" s="1338"/>
      <c r="I59" s="1335"/>
      <c r="J59" s="1335"/>
      <c r="K59" s="978" t="s">
        <v>240</v>
      </c>
      <c r="L59" s="978">
        <f t="shared" si="13"/>
        <v>2302922</v>
      </c>
      <c r="M59" s="153">
        <f t="shared" si="11"/>
        <v>16484068</v>
      </c>
      <c r="N59" s="153">
        <f>ROUND(M59*2/3,0)</f>
        <v>10989379</v>
      </c>
      <c r="O59" s="153"/>
      <c r="P59" s="153">
        <f t="shared" si="14"/>
        <v>261170</v>
      </c>
      <c r="Q59" s="153">
        <f t="shared" si="12"/>
        <v>1044680</v>
      </c>
      <c r="R59" s="153">
        <f>ROUND(Q59*2/3,0)</f>
        <v>696453</v>
      </c>
      <c r="S59" s="347"/>
      <c r="T59" s="153"/>
      <c r="U59" s="153"/>
      <c r="V59" s="153"/>
      <c r="W59" s="153"/>
      <c r="X59" s="153"/>
      <c r="Y59" s="153"/>
      <c r="Z59" s="153"/>
      <c r="AA59" s="153"/>
      <c r="AB59" s="153"/>
      <c r="AC59" s="153"/>
      <c r="AD59" s="153"/>
      <c r="AE59" s="153"/>
      <c r="AF59" s="153"/>
      <c r="AG59" s="153"/>
      <c r="AH59" s="181"/>
      <c r="AI59" s="181"/>
      <c r="AJ59" s="181"/>
      <c r="AK59" s="181"/>
      <c r="AL59" s="181"/>
      <c r="AM59" s="181"/>
      <c r="AN59" s="181"/>
      <c r="AO59" s="181"/>
      <c r="AP59" s="181"/>
      <c r="AQ59" s="181"/>
      <c r="AR59" s="181"/>
    </row>
    <row r="60" spans="1:44" s="200" customFormat="1" ht="24" customHeight="1" thickBot="1">
      <c r="A60" s="197"/>
      <c r="B60" s="1813" t="s">
        <v>234</v>
      </c>
      <c r="C60" s="1813"/>
      <c r="D60" s="1813"/>
      <c r="E60" s="1813"/>
      <c r="F60" s="1813"/>
      <c r="G60" s="1813"/>
      <c r="H60" s="1813"/>
      <c r="I60" s="1335"/>
      <c r="J60" s="1335"/>
      <c r="K60" s="978" t="s">
        <v>241</v>
      </c>
      <c r="L60" s="978">
        <f t="shared" si="13"/>
        <v>2302922</v>
      </c>
      <c r="M60" s="153">
        <f t="shared" si="11"/>
        <v>14181146</v>
      </c>
      <c r="N60" s="153">
        <f>ROUND(M60*2/3,0)</f>
        <v>9454097</v>
      </c>
      <c r="O60" s="153"/>
      <c r="P60" s="153">
        <f t="shared" si="14"/>
        <v>261170</v>
      </c>
      <c r="Q60" s="153">
        <f t="shared" si="12"/>
        <v>783510</v>
      </c>
      <c r="R60" s="153">
        <f>ROUND(Q60*2/3,0)</f>
        <v>522340</v>
      </c>
      <c r="S60" s="347"/>
      <c r="T60" s="153"/>
      <c r="U60" s="153"/>
      <c r="V60" s="153"/>
      <c r="W60" s="153"/>
      <c r="X60" s="153"/>
      <c r="Y60" s="153"/>
      <c r="Z60" s="153"/>
      <c r="AA60" s="153"/>
      <c r="AB60" s="153"/>
      <c r="AC60" s="153"/>
      <c r="AD60" s="153"/>
      <c r="AE60" s="153"/>
      <c r="AF60" s="153"/>
      <c r="AG60" s="153"/>
      <c r="AH60" s="181"/>
      <c r="AI60" s="181"/>
      <c r="AJ60" s="181"/>
      <c r="AK60" s="181"/>
      <c r="AL60" s="181"/>
      <c r="AM60" s="181"/>
      <c r="AN60" s="181"/>
      <c r="AO60" s="181"/>
      <c r="AP60" s="181"/>
      <c r="AQ60" s="181"/>
      <c r="AR60" s="181"/>
    </row>
    <row r="61" spans="1:44" s="200" customFormat="1" ht="35.25" customHeight="1">
      <c r="A61" s="197"/>
      <c r="B61" s="1886" t="s">
        <v>670</v>
      </c>
      <c r="C61" s="1853"/>
      <c r="D61" s="1853"/>
      <c r="E61" s="1809" t="s">
        <v>679</v>
      </c>
      <c r="F61" s="1809"/>
      <c r="G61" s="1809"/>
      <c r="H61" s="1810"/>
      <c r="I61" s="1335"/>
      <c r="J61" s="978"/>
      <c r="K61" s="978" t="s">
        <v>242</v>
      </c>
      <c r="L61" s="978">
        <f t="shared" si="13"/>
        <v>2302922</v>
      </c>
      <c r="M61" s="153">
        <f>M60-L61</f>
        <v>11878224</v>
      </c>
      <c r="N61" s="153">
        <f>ROUND(M61*2/3,0)</f>
        <v>7918816</v>
      </c>
      <c r="O61" s="153"/>
      <c r="P61" s="153">
        <f t="shared" si="14"/>
        <v>261170</v>
      </c>
      <c r="Q61" s="153">
        <f t="shared" si="12"/>
        <v>522340</v>
      </c>
      <c r="R61" s="153">
        <f>ROUND(Q61*2/3,0)</f>
        <v>348227</v>
      </c>
      <c r="S61" s="347"/>
      <c r="T61" s="153"/>
      <c r="U61" s="153"/>
      <c r="V61" s="153"/>
      <c r="W61" s="153"/>
      <c r="X61" s="153"/>
      <c r="Y61" s="153"/>
      <c r="Z61" s="153"/>
      <c r="AA61" s="153"/>
      <c r="AB61" s="153"/>
      <c r="AC61" s="153"/>
      <c r="AD61" s="153"/>
      <c r="AE61" s="153"/>
      <c r="AF61" s="153"/>
      <c r="AG61" s="153"/>
      <c r="AH61" s="181"/>
      <c r="AI61" s="181"/>
      <c r="AJ61" s="181"/>
      <c r="AK61" s="181"/>
      <c r="AL61" s="181"/>
      <c r="AM61" s="181"/>
      <c r="AN61" s="181"/>
      <c r="AO61" s="181"/>
      <c r="AP61" s="181"/>
      <c r="AQ61" s="181"/>
      <c r="AR61" s="181"/>
    </row>
    <row r="62" spans="1:44" s="200" customFormat="1" ht="24" customHeight="1" thickBot="1">
      <c r="A62" s="202"/>
      <c r="B62" s="1348">
        <f>IF(基本入力!C44=1,"―",SUM(総括表!D8:D11,総括表!D13,総括表!D14))</f>
        <v>18537531</v>
      </c>
      <c r="C62" s="449" t="s">
        <v>163</v>
      </c>
      <c r="D62" s="1806">
        <f>IF(B62&gt;0,係数!S44,"－")</f>
        <v>0.15</v>
      </c>
      <c r="E62" s="1839"/>
      <c r="F62" s="1840"/>
      <c r="G62" s="711">
        <f>IF(基本入力!C44=1,'その他経費明細（ﾘｰｽ時のみ）'!G37,ROUNDDOWN(ROUND(B62*D62,0)*CHOOSE((基本入力!C7+1),(基本入力!E40+1),1),0))</f>
        <v>2780630</v>
      </c>
      <c r="H62" s="1331" t="s">
        <v>163</v>
      </c>
      <c r="I62" s="1335"/>
      <c r="J62" s="978"/>
      <c r="K62" s="978" t="s">
        <v>244</v>
      </c>
      <c r="L62" s="978">
        <f t="shared" si="13"/>
        <v>2302922</v>
      </c>
      <c r="M62" s="153">
        <f>M61-L62</f>
        <v>9575302</v>
      </c>
      <c r="N62" s="153">
        <f>ROUND(M62*2/3,0)</f>
        <v>6383535</v>
      </c>
      <c r="O62" s="153"/>
      <c r="P62" s="153">
        <f t="shared" si="14"/>
        <v>261170</v>
      </c>
      <c r="Q62" s="153">
        <f>Q61-P62</f>
        <v>261170</v>
      </c>
      <c r="R62" s="153">
        <f>ROUND(Q62*2/3,0)</f>
        <v>174113</v>
      </c>
      <c r="S62" s="347"/>
      <c r="T62" s="153"/>
      <c r="U62" s="153"/>
      <c r="V62" s="153"/>
      <c r="W62" s="153"/>
      <c r="X62" s="153"/>
      <c r="Y62" s="153"/>
      <c r="Z62" s="153"/>
      <c r="AA62" s="153"/>
      <c r="AB62" s="153"/>
      <c r="AC62" s="153"/>
      <c r="AD62" s="153"/>
      <c r="AE62" s="153"/>
      <c r="AF62" s="153"/>
      <c r="AG62" s="153"/>
      <c r="AH62" s="181"/>
      <c r="AI62" s="181"/>
      <c r="AJ62" s="181"/>
      <c r="AK62" s="181"/>
      <c r="AL62" s="181"/>
      <c r="AM62" s="181"/>
      <c r="AN62" s="181"/>
      <c r="AO62" s="181"/>
      <c r="AP62" s="181"/>
      <c r="AQ62" s="181"/>
      <c r="AR62" s="181"/>
    </row>
    <row r="63" spans="1:44" s="200" customFormat="1" ht="27" customHeight="1">
      <c r="A63" s="197"/>
      <c r="B63" s="1012"/>
      <c r="C63" s="1012"/>
      <c r="D63" s="1012"/>
      <c r="E63" s="1012"/>
      <c r="F63" s="1012"/>
      <c r="G63" s="1012"/>
      <c r="H63" s="1012"/>
      <c r="I63" s="1335"/>
      <c r="J63" s="978"/>
      <c r="K63" s="978" t="s">
        <v>245</v>
      </c>
      <c r="L63" s="978">
        <f t="shared" si="13"/>
        <v>2302922</v>
      </c>
      <c r="M63" s="153">
        <f t="shared" si="11"/>
        <v>7272380</v>
      </c>
      <c r="N63" s="153">
        <f>ROUND(M63*2/3,0)</f>
        <v>4848253</v>
      </c>
      <c r="O63" s="153"/>
      <c r="P63" s="153">
        <f t="shared" si="14"/>
        <v>261170</v>
      </c>
      <c r="Q63" s="153">
        <f t="shared" si="12"/>
        <v>0</v>
      </c>
      <c r="R63" s="153">
        <f>ROUND(Q63*2/3,0)</f>
        <v>0</v>
      </c>
      <c r="S63" s="347"/>
      <c r="T63" s="153"/>
      <c r="U63" s="153"/>
      <c r="V63" s="153"/>
      <c r="W63" s="153"/>
      <c r="X63" s="153"/>
      <c r="Y63" s="153"/>
      <c r="Z63" s="153"/>
      <c r="AA63" s="153"/>
      <c r="AB63" s="153"/>
      <c r="AC63" s="153"/>
      <c r="AD63" s="153"/>
      <c r="AE63" s="153"/>
      <c r="AF63" s="153"/>
      <c r="AG63" s="153"/>
      <c r="AH63" s="181"/>
      <c r="AI63" s="181"/>
      <c r="AJ63" s="181"/>
      <c r="AK63" s="181"/>
      <c r="AL63" s="181"/>
      <c r="AM63" s="181"/>
      <c r="AN63" s="181"/>
      <c r="AO63" s="181"/>
      <c r="AP63" s="181"/>
      <c r="AQ63" s="181"/>
      <c r="AR63" s="181"/>
    </row>
    <row r="64" spans="1:44" s="200" customFormat="1" ht="24" customHeight="1">
      <c r="A64" s="197"/>
      <c r="B64" s="1012"/>
      <c r="C64" s="1012"/>
      <c r="D64" s="1012"/>
      <c r="E64" s="1012"/>
      <c r="F64" s="1012"/>
      <c r="G64" s="1012"/>
      <c r="H64" s="1012"/>
      <c r="I64" s="1335"/>
      <c r="J64" s="978"/>
      <c r="K64" s="978" t="s">
        <v>246</v>
      </c>
      <c r="L64" s="978">
        <f t="shared" si="13"/>
        <v>2302922</v>
      </c>
      <c r="M64" s="153">
        <f t="shared" si="11"/>
        <v>4969458</v>
      </c>
      <c r="N64" s="153">
        <f>M64</f>
        <v>4969458</v>
      </c>
      <c r="O64" s="153"/>
      <c r="P64" s="153"/>
      <c r="Q64" s="153">
        <f>SUM(Q54:Q63)</f>
        <v>11752650</v>
      </c>
      <c r="R64" s="153">
        <f>SUM(R54:R63)</f>
        <v>4788116</v>
      </c>
      <c r="S64" s="348">
        <f>ROUND(R64/Q64,2)</f>
        <v>0.41</v>
      </c>
      <c r="T64" s="153"/>
      <c r="U64" s="153"/>
      <c r="V64" s="153"/>
      <c r="W64" s="153"/>
      <c r="X64" s="153"/>
      <c r="Y64" s="153"/>
      <c r="Z64" s="153"/>
      <c r="AA64" s="153"/>
      <c r="AB64" s="153"/>
      <c r="AC64" s="153"/>
      <c r="AD64" s="153"/>
      <c r="AE64" s="153"/>
      <c r="AF64" s="153"/>
      <c r="AG64" s="153"/>
      <c r="AH64" s="181"/>
      <c r="AI64" s="181"/>
      <c r="AJ64" s="181"/>
      <c r="AK64" s="181"/>
      <c r="AL64" s="181"/>
      <c r="AM64" s="181"/>
      <c r="AN64" s="181"/>
      <c r="AO64" s="181"/>
      <c r="AP64" s="181"/>
      <c r="AQ64" s="181"/>
      <c r="AR64" s="181"/>
    </row>
    <row r="65" spans="1:44" s="200" customFormat="1" ht="24" customHeight="1">
      <c r="A65" s="197"/>
      <c r="B65" s="1012" t="s">
        <v>524</v>
      </c>
      <c r="C65" s="1012"/>
      <c r="D65" s="1012"/>
      <c r="E65" s="1012"/>
      <c r="F65" s="1012"/>
      <c r="G65" s="1012"/>
      <c r="H65" s="1012"/>
      <c r="I65" s="1335"/>
      <c r="J65" s="1335"/>
      <c r="K65" s="978" t="s">
        <v>247</v>
      </c>
      <c r="L65" s="978">
        <f t="shared" si="13"/>
        <v>2302922</v>
      </c>
      <c r="M65" s="153">
        <f t="shared" si="11"/>
        <v>2666536</v>
      </c>
      <c r="N65" s="153">
        <f>M65</f>
        <v>2666536</v>
      </c>
      <c r="O65" s="153"/>
      <c r="P65" s="153"/>
      <c r="Q65" s="153"/>
      <c r="R65" s="153"/>
      <c r="S65" s="347"/>
      <c r="T65" s="153"/>
      <c r="U65" s="153"/>
      <c r="V65" s="153"/>
      <c r="W65" s="153"/>
      <c r="X65" s="153"/>
      <c r="Y65" s="153"/>
      <c r="Z65" s="153"/>
      <c r="AA65" s="153"/>
      <c r="AB65" s="153"/>
      <c r="AC65" s="153"/>
      <c r="AD65" s="153"/>
      <c r="AE65" s="153"/>
      <c r="AF65" s="153"/>
      <c r="AG65" s="153"/>
      <c r="AH65" s="181"/>
      <c r="AI65" s="181"/>
      <c r="AJ65" s="181"/>
      <c r="AK65" s="181"/>
      <c r="AL65" s="181"/>
      <c r="AM65" s="181"/>
      <c r="AN65" s="181"/>
      <c r="AO65" s="181"/>
      <c r="AP65" s="181"/>
      <c r="AQ65" s="181"/>
      <c r="AR65" s="181"/>
    </row>
    <row r="66" spans="1:44" s="200" customFormat="1" ht="24" customHeight="1">
      <c r="A66" s="197"/>
      <c r="B66" s="1012"/>
      <c r="C66" s="1012"/>
      <c r="D66" s="1012"/>
      <c r="E66" s="1012"/>
      <c r="F66" s="1012"/>
      <c r="G66" s="1012"/>
      <c r="H66" s="1012"/>
      <c r="I66" s="1335"/>
      <c r="J66" s="1335"/>
      <c r="K66" s="978" t="s">
        <v>248</v>
      </c>
      <c r="L66" s="978">
        <f t="shared" si="13"/>
        <v>2302922</v>
      </c>
      <c r="M66" s="153">
        <f t="shared" si="11"/>
        <v>363614</v>
      </c>
      <c r="N66" s="153">
        <f>M66</f>
        <v>363614</v>
      </c>
      <c r="O66" s="153"/>
      <c r="P66" s="349"/>
      <c r="Q66" s="153"/>
      <c r="R66" s="153"/>
      <c r="S66" s="347"/>
      <c r="T66" s="153"/>
      <c r="U66" s="153"/>
      <c r="V66" s="153"/>
      <c r="W66" s="153"/>
      <c r="X66" s="153"/>
      <c r="Y66" s="153"/>
      <c r="Z66" s="153"/>
      <c r="AA66" s="153"/>
      <c r="AB66" s="153"/>
      <c r="AC66" s="153"/>
      <c r="AD66" s="153"/>
      <c r="AE66" s="153"/>
      <c r="AF66" s="153"/>
      <c r="AG66" s="153"/>
      <c r="AH66" s="181"/>
      <c r="AI66" s="181"/>
      <c r="AJ66" s="181"/>
      <c r="AK66" s="181"/>
      <c r="AL66" s="181"/>
      <c r="AM66" s="181"/>
      <c r="AN66" s="181"/>
      <c r="AO66" s="181"/>
      <c r="AP66" s="181"/>
      <c r="AQ66" s="181"/>
      <c r="AR66" s="181"/>
    </row>
    <row r="67" spans="1:44" s="200" customFormat="1" ht="24" customHeight="1">
      <c r="A67" s="197"/>
      <c r="B67" s="1884" t="s">
        <v>523</v>
      </c>
      <c r="C67" s="1885"/>
      <c r="D67" s="1885"/>
      <c r="E67" s="1885"/>
      <c r="F67" s="1885"/>
      <c r="G67" s="1885"/>
      <c r="H67" s="1885"/>
      <c r="I67" s="978"/>
      <c r="J67" s="1335"/>
      <c r="K67" s="978"/>
      <c r="L67" s="978"/>
      <c r="M67" s="350">
        <f>SUM(M54:M66)</f>
        <v>184354898</v>
      </c>
      <c r="N67" s="350">
        <f>SUM(N54:N66)</f>
        <v>86581745</v>
      </c>
      <c r="O67" s="351">
        <f>ROUND(N67/M67,2)</f>
        <v>0.47</v>
      </c>
      <c r="P67" s="1019">
        <f>IF(AND(AVERAGE(基本入力!E29:'基本入力'!E37,基本入力!E13:'基本入力'!E16)=基本入力!E30,基本入力!C56=0,基本入力!C57=0),AVERAGE(基本入力!E13:'基本入力'!E16,基本入力!E29:'基本入力'!E37),0)</f>
        <v>18</v>
      </c>
      <c r="Q67" s="153"/>
      <c r="R67" s="153"/>
      <c r="S67" s="153"/>
      <c r="T67" s="153"/>
      <c r="U67" s="153"/>
      <c r="V67" s="153"/>
      <c r="W67" s="153"/>
      <c r="X67" s="153"/>
      <c r="Y67" s="153"/>
      <c r="Z67" s="153"/>
      <c r="AA67" s="153"/>
      <c r="AB67" s="153"/>
      <c r="AC67" s="153"/>
      <c r="AD67" s="153"/>
      <c r="AE67" s="153"/>
      <c r="AF67" s="153"/>
      <c r="AG67" s="153"/>
      <c r="AH67" s="181"/>
      <c r="AI67" s="181"/>
      <c r="AJ67" s="181"/>
      <c r="AK67" s="181"/>
      <c r="AL67" s="181"/>
      <c r="AM67" s="181"/>
      <c r="AN67" s="181"/>
      <c r="AO67" s="181"/>
      <c r="AP67" s="181"/>
      <c r="AQ67" s="181"/>
      <c r="AR67" s="181"/>
    </row>
    <row r="68" spans="1:44" s="200" customFormat="1" ht="24" customHeight="1">
      <c r="A68" s="197"/>
      <c r="B68" s="1012"/>
      <c r="C68" s="1012"/>
      <c r="D68" s="1012"/>
      <c r="E68" s="1012"/>
      <c r="F68" s="1012"/>
      <c r="G68" s="1012"/>
      <c r="H68" s="1012"/>
      <c r="I68" s="978"/>
      <c r="J68" s="1335"/>
      <c r="K68" s="977"/>
      <c r="L68" s="978"/>
      <c r="M68" s="153"/>
      <c r="N68" s="153"/>
      <c r="O68" s="153"/>
      <c r="P68" s="153"/>
      <c r="Q68" s="153"/>
      <c r="R68" s="153"/>
      <c r="S68" s="153"/>
      <c r="T68" s="153"/>
      <c r="U68" s="153"/>
      <c r="V68" s="153"/>
      <c r="W68" s="153"/>
      <c r="X68" s="153"/>
      <c r="Y68" s="153"/>
      <c r="Z68" s="153"/>
      <c r="AA68" s="153"/>
      <c r="AB68" s="153"/>
      <c r="AC68" s="153"/>
      <c r="AD68" s="153"/>
      <c r="AE68" s="153"/>
      <c r="AF68" s="153"/>
      <c r="AG68" s="153"/>
      <c r="AH68" s="181"/>
      <c r="AI68" s="181"/>
      <c r="AJ68" s="181"/>
      <c r="AK68" s="181"/>
      <c r="AL68" s="181"/>
      <c r="AM68" s="181"/>
      <c r="AN68" s="181"/>
      <c r="AO68" s="181"/>
      <c r="AP68" s="181"/>
      <c r="AQ68" s="181"/>
      <c r="AR68" s="181"/>
    </row>
    <row r="69" spans="1:44" s="200" customFormat="1" ht="24" customHeight="1" thickBot="1">
      <c r="A69" s="197"/>
      <c r="B69" s="1826" t="s">
        <v>680</v>
      </c>
      <c r="C69" s="1826"/>
      <c r="D69" s="1826"/>
      <c r="E69" s="1826"/>
      <c r="F69" s="1826"/>
      <c r="G69" s="1826"/>
      <c r="H69" s="1826"/>
      <c r="I69" s="978"/>
      <c r="J69" s="1335"/>
      <c r="K69" s="978"/>
      <c r="L69" s="978"/>
      <c r="M69" s="153"/>
      <c r="N69" s="153"/>
      <c r="O69" s="153"/>
      <c r="P69" s="153"/>
      <c r="Q69" s="153"/>
      <c r="R69" s="153"/>
      <c r="S69" s="153"/>
      <c r="T69" s="153"/>
      <c r="U69" s="153"/>
      <c r="V69" s="153"/>
      <c r="W69" s="153"/>
      <c r="X69" s="153"/>
      <c r="Y69" s="153"/>
      <c r="Z69" s="153"/>
      <c r="AA69" s="153"/>
      <c r="AB69" s="153"/>
      <c r="AC69" s="153"/>
      <c r="AD69" s="153"/>
      <c r="AE69" s="153"/>
      <c r="AF69" s="153"/>
      <c r="AG69" s="153"/>
      <c r="AH69" s="181"/>
      <c r="AI69" s="181"/>
      <c r="AJ69" s="181"/>
      <c r="AK69" s="181"/>
      <c r="AL69" s="181"/>
      <c r="AM69" s="181"/>
      <c r="AN69" s="181"/>
      <c r="AO69" s="181"/>
      <c r="AP69" s="181"/>
      <c r="AQ69" s="181"/>
      <c r="AR69" s="181"/>
    </row>
    <row r="70" spans="1:44" s="200" customFormat="1" ht="30" customHeight="1">
      <c r="A70" s="197"/>
      <c r="B70" s="1824" t="s">
        <v>1178</v>
      </c>
      <c r="C70" s="1825"/>
      <c r="D70" s="1853" t="s">
        <v>666</v>
      </c>
      <c r="E70" s="1811"/>
      <c r="F70" s="1854" t="s">
        <v>671</v>
      </c>
      <c r="G70" s="1854"/>
      <c r="H70" s="1852"/>
      <c r="I70" s="978"/>
      <c r="J70" s="1335"/>
      <c r="K70" s="978"/>
      <c r="L70" s="978" t="s">
        <v>862</v>
      </c>
      <c r="M70" s="435">
        <f>係数!S46</f>
        <v>0.182</v>
      </c>
      <c r="N70" s="153" t="s">
        <v>863</v>
      </c>
      <c r="O70" s="1020">
        <v>0.01</v>
      </c>
      <c r="P70" s="434" t="s">
        <v>864</v>
      </c>
      <c r="Q70" s="1020">
        <v>0.06</v>
      </c>
      <c r="R70" s="434" t="s">
        <v>1171</v>
      </c>
      <c r="S70" s="1020">
        <v>0.10299999999999999</v>
      </c>
      <c r="T70" s="153"/>
      <c r="U70" s="153"/>
      <c r="V70" s="153"/>
      <c r="W70" s="153"/>
      <c r="X70" s="153"/>
      <c r="Y70" s="153"/>
      <c r="Z70" s="153"/>
      <c r="AA70" s="153"/>
      <c r="AB70" s="153"/>
      <c r="AC70" s="153"/>
      <c r="AD70" s="153"/>
      <c r="AE70" s="153"/>
      <c r="AF70" s="153"/>
      <c r="AG70" s="153"/>
      <c r="AH70" s="181"/>
      <c r="AI70" s="181"/>
      <c r="AJ70" s="181"/>
      <c r="AK70" s="181"/>
      <c r="AL70" s="181"/>
      <c r="AM70" s="181"/>
      <c r="AN70" s="181"/>
      <c r="AO70" s="181"/>
      <c r="AP70" s="181"/>
      <c r="AQ70" s="181"/>
      <c r="AR70" s="181"/>
    </row>
    <row r="71" spans="1:44" s="200" customFormat="1" ht="30" customHeight="1" thickBot="1">
      <c r="A71" s="197"/>
      <c r="B71" s="1336">
        <f>G88</f>
        <v>1554872</v>
      </c>
      <c r="C71" s="449" t="s">
        <v>163</v>
      </c>
      <c r="D71" s="1806">
        <f>IF(B71&gt;0,係数!S45,"－")</f>
        <v>0.35</v>
      </c>
      <c r="E71" s="1839"/>
      <c r="F71" s="1361">
        <f>IF(B71&gt;0,係数!S46,"－")</f>
        <v>0.182</v>
      </c>
      <c r="G71" s="711">
        <f>ROUND(B71*D71*F71,0)</f>
        <v>99045</v>
      </c>
      <c r="H71" s="1331" t="s">
        <v>163</v>
      </c>
      <c r="I71" s="978"/>
      <c r="J71" s="1335"/>
      <c r="K71" s="978"/>
      <c r="L71" s="977" t="s">
        <v>249</v>
      </c>
      <c r="M71" s="352">
        <f>IF(AND(基本入力!C13&gt;0,COUNTA(基本入力!C13:C16)=1),0,IF(AND(基本入力!C14&gt;0,COUNTA(基本入力!C13:C16)=1),1,IF(AND(基本入力!C15&gt;0,COUNTA(基本入力!C13:C16)=1),2,3)))</f>
        <v>3</v>
      </c>
      <c r="N71" s="1427" t="str">
        <f>"混在"</f>
        <v>混在</v>
      </c>
      <c r="O71" s="977"/>
      <c r="P71" s="1362">
        <f>IF(基本入力!E41=0,CHOOSE(P67,係数!D15,係数!E15,係数!F15,係数!G15,係数!H15,係数!I15,係数!J15,係数!K15,係数!L15,係数!M15,係数!N15,係数!O15,係数!P15,係数!R15,係数!S15,係数!T15,係数!U15,係数!V15,係数!W15,係数!X15,係数!Y15),CHOOSE(P67,係数!D22,係数!E22,係数!F22,係数!G22,係数!H22,係数!I22,係数!J22,係数!K22,係数!L22,係数!M22,係数!N22,係数!O22,係数!P22,係数!R22,係数!S22,係数!T22,係数!U22,係数!V22,係数!W22,係数!X22,係数!Y22))</f>
        <v>0</v>
      </c>
      <c r="Q71" s="976" t="str">
        <f>IF(投資額!J28&gt;0,IF(OR(AND(OR(投資額!J28=投資額!K28,投資額!K28=0),投資額!K28=投資額!L28),投資額!L28=0),1,3),"")</f>
        <v/>
      </c>
      <c r="R71" s="1887"/>
      <c r="S71" s="1887"/>
      <c r="T71" s="153"/>
      <c r="U71" s="153"/>
      <c r="V71" s="153"/>
      <c r="W71" s="153"/>
      <c r="X71" s="153"/>
      <c r="Y71" s="153"/>
      <c r="Z71" s="153"/>
      <c r="AA71" s="153"/>
      <c r="AB71" s="153"/>
      <c r="AC71" s="153"/>
      <c r="AD71" s="153"/>
      <c r="AE71" s="153"/>
      <c r="AF71" s="153"/>
      <c r="AG71" s="153"/>
      <c r="AH71" s="181"/>
      <c r="AI71" s="181"/>
      <c r="AJ71" s="181"/>
      <c r="AK71" s="181"/>
      <c r="AL71" s="181"/>
      <c r="AM71" s="181"/>
      <c r="AN71" s="181"/>
      <c r="AO71" s="181"/>
      <c r="AP71" s="181"/>
      <c r="AQ71" s="181"/>
      <c r="AR71" s="181"/>
    </row>
    <row r="72" spans="1:44" s="200" customFormat="1" ht="27" customHeight="1">
      <c r="A72" s="197"/>
      <c r="I72" s="978"/>
      <c r="J72" s="1335"/>
      <c r="K72" s="978"/>
      <c r="L72" s="977" t="s">
        <v>250</v>
      </c>
      <c r="M72" s="352"/>
      <c r="N72" s="975">
        <f>ROUND((投資額!T22*係数!Z4),0)+ROUND((投資額!U22*係数!Z4),0)+ROUND((投資額!V22*係数!Z4),0)+ROUND((投資額!W22*係数!Z4),0)+ROUND((投資額!X22*係数!Z4),0)+ROUND((投資額!Y22*係数!Z4),0)+ROUND((投資額!Z22*係数!Z4),0)+ROUND((投資額!AA22*係数!Z4),0)+ROUND((投資額!AB22*係数!Z4),0)</f>
        <v>87539</v>
      </c>
      <c r="O72" s="976">
        <f>IF(投資額!J22&gt;0,IF(OR(AND(OR(投資額!J22=投資額!K22,投資額!K22=0),投資額!K22=投資額!L22),投資額!L22=0),1,3),"")</f>
        <v>1</v>
      </c>
      <c r="P72" s="1362">
        <f>IF(基本入力!E41=0,CHOOSE(P67,係数!D16,係数!E16,係数!F16,係数!G16,係数!H16,係数!I16,係数!J16,係数!K16,係数!L16,係数!M16,係数!N16,係数!O16,係数!P16,係数!R16,係数!S16,係数!T16,係数!U16,係数!V16,係数!W16,係数!X16,係数!Y16),CHOOSE(P67,係数!D23,係数!E23,係数!F23,係数!G23,係数!H23,係数!I23,係数!J23,係数!K23,係数!L23,係数!M23,係数!N23,係数!O23,係数!P23,係数!R23,係数!S23,係数!T23,係数!U23,係数!V23,係数!W23,係数!X23,係数!Y23))</f>
        <v>0</v>
      </c>
      <c r="Q72" s="976" t="str">
        <f>IF(投資額!J29&gt;0,IF(OR(AND(OR(投資額!J29=投資額!K29,投資額!K29=0),投資額!K29=投資額!L29),投資額!L29=0),1,3),"")</f>
        <v/>
      </c>
      <c r="R72" s="153"/>
      <c r="S72" s="352"/>
      <c r="T72" s="153"/>
      <c r="U72" s="153"/>
      <c r="V72" s="153"/>
      <c r="W72" s="153"/>
      <c r="X72" s="153"/>
      <c r="Y72" s="153"/>
      <c r="Z72" s="153"/>
      <c r="AA72" s="153"/>
      <c r="AB72" s="153"/>
      <c r="AC72" s="153"/>
      <c r="AD72" s="153"/>
      <c r="AE72" s="153"/>
      <c r="AF72" s="153"/>
      <c r="AG72" s="153"/>
      <c r="AH72" s="181"/>
      <c r="AI72" s="181"/>
      <c r="AJ72" s="181"/>
      <c r="AK72" s="181"/>
      <c r="AL72" s="181"/>
      <c r="AM72" s="181"/>
      <c r="AN72" s="181"/>
      <c r="AO72" s="181"/>
      <c r="AP72" s="181"/>
      <c r="AQ72" s="181"/>
      <c r="AR72" s="181"/>
    </row>
    <row r="73" spans="1:44" s="200" customFormat="1" ht="24" customHeight="1" thickBot="1">
      <c r="A73" s="197"/>
      <c r="B73" s="1826" t="s">
        <v>1173</v>
      </c>
      <c r="C73" s="1826"/>
      <c r="D73" s="1826"/>
      <c r="E73" s="1826"/>
      <c r="F73" s="1826"/>
      <c r="G73" s="1826"/>
      <c r="H73" s="1826"/>
      <c r="I73" s="978"/>
      <c r="J73" s="978"/>
      <c r="K73" s="978"/>
      <c r="L73" s="977" t="s">
        <v>251</v>
      </c>
      <c r="M73" s="352"/>
      <c r="N73" s="975">
        <f>ROUND((投資額!T24*係数!Z5),0)+ROUND((投資額!U24*係数!Z5),0)+ROUND((投資額!V24*係数!Z5),0)+ROUND((投資額!W24*係数!Z5),0)+ROUND((投資額!X24*係数!Z5),0)+ROUND((投資額!Y24*係数!Z5),0)+ROUND((投資額!Z24*係数!Z5),0)+ROUND((投資額!AA24*係数!Z5),0)+ROUND((投資額!AB24*係数!Z5),0)</f>
        <v>123235</v>
      </c>
      <c r="O73" s="976">
        <f>IF(投資額!J24&gt;0,IF(OR(AND(OR(投資額!J24=投資額!K24,投資額!K24=0),投資額!K24=投資額!L24),投資額!L24=0),1,3),"")</f>
        <v>1</v>
      </c>
      <c r="P73" s="1362">
        <f>IF(基本入力!E41=0,CHOOSE(P67,係数!D17,係数!E17,係数!F17,係数!G17,係数!H17,係数!I17,係数!J17,係数!K17,係数!L17,係数!M17,係数!N17,係数!O17,係数!P17,係数!R17,係数!S17,係数!T17,係数!U17,係数!V17,係数!W17,係数!X17,係数!Y17),CHOOSE(P67,係数!D24,係数!E24,係数!F24,係数!G24,係数!H24,係数!I24,係数!J24,係数!K24,係数!L24,係数!M24,係数!N24,係数!O24,係数!P24,係数!R24,係数!S24,係数!T24,係数!U24,係数!V24,係数!W24,係数!X24,係数!Y24))</f>
        <v>0</v>
      </c>
      <c r="Q73" s="976" t="str">
        <f>IF(投資額!J30&gt;0,IF(OR(AND(OR(投資額!J30=投資額!K30,投資額!K30=0),投資額!K30=投資額!L30),投資額!L30=0),1,3),"")</f>
        <v/>
      </c>
      <c r="R73" s="153"/>
      <c r="S73" s="153"/>
      <c r="T73" s="153"/>
      <c r="U73" s="153"/>
      <c r="V73" s="153"/>
      <c r="W73" s="153"/>
      <c r="X73" s="153"/>
      <c r="Y73" s="153"/>
      <c r="Z73" s="153"/>
      <c r="AA73" s="153"/>
      <c r="AB73" s="153"/>
      <c r="AC73" s="153"/>
      <c r="AD73" s="153"/>
      <c r="AE73" s="153"/>
      <c r="AF73" s="153"/>
      <c r="AG73" s="153"/>
      <c r="AH73" s="181"/>
      <c r="AI73" s="181"/>
      <c r="AJ73" s="181"/>
      <c r="AK73" s="181"/>
      <c r="AL73" s="181"/>
      <c r="AM73" s="181"/>
      <c r="AN73" s="181"/>
      <c r="AO73" s="181"/>
      <c r="AP73" s="181"/>
      <c r="AQ73" s="181"/>
      <c r="AR73" s="181"/>
    </row>
    <row r="74" spans="1:44" s="200" customFormat="1" ht="24" customHeight="1">
      <c r="A74" s="197"/>
      <c r="B74" s="1824" t="s">
        <v>1179</v>
      </c>
      <c r="C74" s="1825"/>
      <c r="D74" s="1853" t="s">
        <v>1174</v>
      </c>
      <c r="E74" s="1853"/>
      <c r="F74" s="1853"/>
      <c r="G74" s="1851" t="s">
        <v>1182</v>
      </c>
      <c r="H74" s="1852"/>
      <c r="I74" s="978"/>
      <c r="J74" s="978"/>
      <c r="K74" s="978"/>
      <c r="L74" s="977" t="s">
        <v>551</v>
      </c>
      <c r="M74" s="977"/>
      <c r="N74" s="975">
        <f>ROUND((投資額!T25*係数!Z6),0)+ROUND((投資額!U25*係数!Z6),0)+ROUND((投資額!V25*係数!Z6),0)+ROUND((投資額!W25*係数!Z6),0)+ROUND((投資額!X25*係数!Z6),0)+ROUND((投資額!Y25*係数!Z6),0)+ROUND((投資額!Z25*係数!Z6),0)+ROUND((投資額!AA25*係数!Z6),0)+ROUND((投資額!AB25*係数!Z6),0)</f>
        <v>509110</v>
      </c>
      <c r="O74" s="976">
        <f>IF(投資額!J25&gt;0,IF(OR(AND(OR(投資額!J25=投資額!K25,投資額!K25=0),投資額!K25=投資額!L25),投資額!L25=0),1,3),"")</f>
        <v>1</v>
      </c>
      <c r="P74" s="1362">
        <f>IF(基本入力!E41=0,CHOOSE(P67,係数!D18,係数!E18,係数!F18,係数!G18,係数!H18,係数!I18,係数!J18,係数!K18,係数!L18,係数!M18,係数!N18,係数!O18,係数!P18,係数!R18,係数!S18,係数!T18,係数!U18,係数!V18,係数!W18,係数!X18,係数!Y18),CHOOSE(P67,係数!D25,係数!E25,係数!F25,係数!G25,係数!H25,係数!I25,係数!J25,係数!K25,係数!L25,係数!M25,係数!N25,係数!O25,係数!P25,係数!R25,係数!S25,係数!T25,係数!U25,係数!V25,係数!W25,係数!X25,係数!Y25))</f>
        <v>0</v>
      </c>
      <c r="Q74" s="976"/>
      <c r="R74" s="153"/>
      <c r="S74" s="153"/>
      <c r="T74" s="153"/>
      <c r="U74" s="153"/>
      <c r="V74" s="153"/>
      <c r="W74" s="153"/>
      <c r="X74" s="153"/>
      <c r="Y74" s="153"/>
      <c r="Z74" s="153"/>
      <c r="AA74" s="153"/>
      <c r="AB74" s="153"/>
      <c r="AC74" s="153"/>
      <c r="AD74" s="153"/>
      <c r="AE74" s="153"/>
      <c r="AF74" s="153"/>
      <c r="AG74" s="153"/>
      <c r="AH74" s="181"/>
      <c r="AI74" s="181"/>
      <c r="AJ74" s="181"/>
      <c r="AK74" s="181"/>
      <c r="AL74" s="181"/>
      <c r="AM74" s="181"/>
      <c r="AN74" s="181"/>
      <c r="AO74" s="181"/>
      <c r="AP74" s="181"/>
      <c r="AQ74" s="181"/>
      <c r="AR74" s="181"/>
    </row>
    <row r="75" spans="1:44" s="200" customFormat="1" ht="24" customHeight="1" thickBot="1">
      <c r="A75" s="197"/>
      <c r="B75" s="1336">
        <f>ROUND(B71*D71*係数!S47,0)</f>
        <v>99045</v>
      </c>
      <c r="C75" s="449" t="s">
        <v>163</v>
      </c>
      <c r="D75" s="1848">
        <f>S70</f>
        <v>0.10299999999999999</v>
      </c>
      <c r="E75" s="1849"/>
      <c r="F75" s="1850"/>
      <c r="G75" s="711">
        <f>B75*D75</f>
        <v>10201.635</v>
      </c>
      <c r="H75" s="1331" t="s">
        <v>163</v>
      </c>
      <c r="I75" s="978"/>
      <c r="J75" s="978"/>
      <c r="K75" s="978"/>
      <c r="L75" s="977" t="s">
        <v>252</v>
      </c>
      <c r="M75" s="352"/>
      <c r="N75" s="975">
        <f>ROUND((投資額!T26*係数!Z7),0)+ROUND((投資額!U26*係数!Z7),0)+ROUND((投資額!V26*係数!Z7),0)+ROUND((投資額!W26*係数!Z7),0)+ROUND((投資額!X26*係数!Z7),0)+ROUND((投資額!Y26*係数!Z7),0)+ROUND((投資額!Z26*係数!Z7),0)+ROUND((投資額!AA26*係数!Z7),0)+ROUND((投資額!AB26*係数!Z7),0)</f>
        <v>261170</v>
      </c>
      <c r="O75" s="976">
        <f>IF(投資額!J26&gt;0,IF(OR(AND(OR(投資額!J26=投資額!K26,投資額!K26=0),投資額!K26=投資額!L26),投資額!L26=0),1,3),"")</f>
        <v>1</v>
      </c>
      <c r="P75" s="977"/>
      <c r="Q75" s="976">
        <f>IF(投資額!J31&gt;0,IF(OR(AND(OR(投資額!J31=投資額!K31,投資額!K31=0),投資額!K31=投資額!L31),投資額!L31=0),1,3),"")</f>
        <v>1</v>
      </c>
      <c r="R75" s="153"/>
      <c r="S75" s="153"/>
      <c r="T75" s="153"/>
      <c r="U75" s="153"/>
      <c r="V75" s="153"/>
      <c r="W75" s="153"/>
      <c r="X75" s="153"/>
      <c r="Y75" s="153"/>
      <c r="Z75" s="153"/>
      <c r="AA75" s="153"/>
      <c r="AB75" s="153"/>
      <c r="AC75" s="153"/>
      <c r="AD75" s="153"/>
      <c r="AE75" s="153"/>
      <c r="AF75" s="153"/>
      <c r="AG75" s="153"/>
      <c r="AH75" s="181"/>
      <c r="AI75" s="181"/>
      <c r="AJ75" s="181"/>
      <c r="AK75" s="181"/>
      <c r="AL75" s="181"/>
      <c r="AM75" s="181"/>
      <c r="AN75" s="181"/>
      <c r="AO75" s="181"/>
      <c r="AP75" s="181"/>
      <c r="AQ75" s="181"/>
      <c r="AR75" s="181"/>
    </row>
    <row r="76" spans="1:44" s="200" customFormat="1" ht="24" customHeight="1">
      <c r="A76" s="197"/>
      <c r="I76" s="978"/>
      <c r="J76" s="978"/>
      <c r="K76" s="978"/>
      <c r="L76" s="977" t="s">
        <v>795</v>
      </c>
      <c r="M76" s="352"/>
      <c r="N76" s="975">
        <f>ROUND((投資額!T27*係数!Z8),0)+ROUND((投資額!U27*係数!Z8),0)+ROUND((投資額!V27*係数!Z8),0)+ROUND((投資額!W27*係数!Z8),0)+ROUND((投資額!X27*係数!Z8),0)+ROUND((投資額!Y27*係数!Z8),0)+ROUND((投資額!Z27*係数!Z8),0)+ROUND((投資額!AA27*係数!Z8),0)+ROUND((投資額!AB27*係数!Z8),0)</f>
        <v>123154</v>
      </c>
      <c r="O76" s="976">
        <f>IF(投資額!J27&gt;0,IF(OR(AND(OR(投資額!J27=投資額!K27,投資額!K27=0),投資額!K27=投資額!L27),投資額!L27=0),1,3),"")</f>
        <v>1</v>
      </c>
      <c r="P76" s="978"/>
      <c r="Q76" s="976"/>
      <c r="R76" s="153"/>
      <c r="S76" s="153"/>
      <c r="T76" s="153"/>
      <c r="U76" s="153"/>
      <c r="V76" s="153"/>
      <c r="W76" s="153"/>
      <c r="X76" s="153"/>
      <c r="Y76" s="153"/>
      <c r="Z76" s="153"/>
      <c r="AA76" s="153"/>
      <c r="AB76" s="153"/>
      <c r="AC76" s="153"/>
      <c r="AD76" s="153"/>
      <c r="AE76" s="153"/>
      <c r="AF76" s="153"/>
      <c r="AG76" s="153"/>
      <c r="AH76" s="181"/>
      <c r="AI76" s="181"/>
      <c r="AJ76" s="181"/>
      <c r="AK76" s="181"/>
      <c r="AL76" s="181"/>
      <c r="AM76" s="181"/>
      <c r="AN76" s="181"/>
      <c r="AO76" s="181"/>
      <c r="AP76" s="181"/>
      <c r="AQ76" s="181"/>
      <c r="AR76" s="181"/>
    </row>
    <row r="77" spans="1:44" s="200" customFormat="1" ht="24" customHeight="1" thickBot="1">
      <c r="A77" s="197"/>
      <c r="B77" s="1823" t="s">
        <v>1229</v>
      </c>
      <c r="C77" s="1823"/>
      <c r="D77" s="1823"/>
      <c r="E77" s="1823"/>
      <c r="F77" s="1823"/>
      <c r="G77" s="1823"/>
      <c r="H77" s="1823"/>
      <c r="I77" s="978"/>
      <c r="J77" s="978"/>
      <c r="K77" s="978"/>
      <c r="L77" s="977" t="s">
        <v>253</v>
      </c>
      <c r="M77" s="352"/>
      <c r="N77" s="975">
        <f>SUM(Q78:Q81)</f>
        <v>2333223</v>
      </c>
      <c r="O77" s="976">
        <f>SUM(Q71:Q75)</f>
        <v>1</v>
      </c>
      <c r="P77" s="978"/>
      <c r="Q77" s="977" t="s">
        <v>254</v>
      </c>
      <c r="R77" s="153"/>
      <c r="S77" s="153"/>
      <c r="T77" s="153"/>
      <c r="U77" s="153"/>
      <c r="V77" s="153"/>
      <c r="W77" s="153"/>
      <c r="X77" s="153"/>
      <c r="Y77" s="153"/>
      <c r="Z77" s="153"/>
      <c r="AA77" s="153"/>
      <c r="AB77" s="153"/>
      <c r="AC77" s="153"/>
      <c r="AD77" s="153"/>
      <c r="AE77" s="153"/>
      <c r="AF77" s="153"/>
      <c r="AG77" s="153"/>
      <c r="AH77" s="181"/>
      <c r="AI77" s="181"/>
      <c r="AJ77" s="181"/>
      <c r="AK77" s="181"/>
      <c r="AL77" s="181"/>
      <c r="AM77" s="181"/>
      <c r="AN77" s="181"/>
      <c r="AO77" s="181"/>
      <c r="AP77" s="181"/>
      <c r="AQ77" s="181"/>
      <c r="AR77" s="181"/>
    </row>
    <row r="78" spans="1:44" s="200" customFormat="1" ht="24" customHeight="1">
      <c r="A78" s="197"/>
      <c r="B78" s="1824" t="s">
        <v>1179</v>
      </c>
      <c r="C78" s="1825"/>
      <c r="D78" s="1811" t="s">
        <v>1177</v>
      </c>
      <c r="E78" s="1811"/>
      <c r="F78" s="1811"/>
      <c r="G78" s="1827" t="s">
        <v>1176</v>
      </c>
      <c r="H78" s="1810"/>
      <c r="I78" s="978"/>
      <c r="J78" s="978"/>
      <c r="K78" s="978"/>
      <c r="L78" s="977" t="s">
        <v>255</v>
      </c>
      <c r="M78" s="352"/>
      <c r="N78" s="975">
        <f>ROUND((投資額!T32*係数!Z13),0)+ROUND((投資額!U32*係数!Z13),0)+ROUND((投資額!V32*係数!Z13),0)+ROUND((投資額!W32*係数!Z13),0)+ROUND((投資額!X32*係数!Z13),0)+ROUND((投資額!Y32*係数!Z13),0)+ROUND((投資額!Z32*係数!Z13),0)+ROUND((投資額!AA32*係数!Z13),0)+ROUND((投資額!AB32*係数!Z13),0)</f>
        <v>183368</v>
      </c>
      <c r="O78" s="976">
        <f>IF(投資額!J32&gt;0,IF(OR(AND(OR(投資額!J32=投資額!K32,投資額!K32=0),投資額!K32=投資額!L32),投資額!L32=0),1,3),"")</f>
        <v>1</v>
      </c>
      <c r="P78" s="978"/>
      <c r="Q78" s="975">
        <f>ROUND((投資額!T36*係数!Z9),0)+ROUND((投資額!U36*係数!Z9),0)+ROUND((投資額!V36*係数!Z9),0)+ROUND((投資額!W36*係数!Z9),0)+ROUND((投資額!X36*係数!Z9),0)+ROUND((投資額!Y36*係数!Z9),0)+ROUND((投資額!Z36*係数!Z9),0)+ROUND((投資額!AA36*係数!Z9),0)+ROUND((投資額!AB36*係数!Z9),0)+ROUND((投資額!T38*係数!Z9),0)+ROUND((投資額!U38*係数!Z9),0)+ROUND((投資額!V38*係数!Z9),0)+ROUND((投資額!W38*係数!Z9),0)+ROUND((投資額!X38*係数!Z9),0)+ROUND((投資額!Y38*係数!Z9),0)+ROUND((投資額!Z38*係数!Z9),0)+ROUND((投資額!AA38*係数!Z9),0)+ROUND((投資額!AB38*係数!Z9),0)</f>
        <v>0</v>
      </c>
      <c r="R78" s="350">
        <f>(投資額!AC36+投資額!AC38)</f>
        <v>0</v>
      </c>
      <c r="S78" s="153"/>
      <c r="T78" s="153"/>
      <c r="U78" s="153"/>
      <c r="V78" s="153"/>
      <c r="W78" s="153"/>
      <c r="X78" s="153"/>
      <c r="Y78" s="153"/>
      <c r="Z78" s="153"/>
      <c r="AA78" s="153"/>
      <c r="AB78" s="153"/>
      <c r="AC78" s="153"/>
      <c r="AD78" s="153"/>
      <c r="AE78" s="153"/>
      <c r="AF78" s="153"/>
      <c r="AG78" s="153"/>
      <c r="AH78" s="181"/>
      <c r="AI78" s="181"/>
      <c r="AJ78" s="181"/>
      <c r="AK78" s="181"/>
      <c r="AL78" s="181"/>
      <c r="AM78" s="181"/>
      <c r="AN78" s="181"/>
      <c r="AO78" s="181"/>
      <c r="AP78" s="181"/>
      <c r="AQ78" s="181"/>
      <c r="AR78" s="181"/>
    </row>
    <row r="79" spans="1:44" s="200" customFormat="1" ht="24" customHeight="1" thickBot="1">
      <c r="A79" s="197"/>
      <c r="B79" s="1336">
        <f>ROUND(B71*D71*係数!S47,0)</f>
        <v>99045</v>
      </c>
      <c r="C79" s="449" t="s">
        <v>163</v>
      </c>
      <c r="D79" s="1806">
        <f>IF(B79&gt;0,係数!S48,"－")</f>
        <v>7.0000000000000007E-2</v>
      </c>
      <c r="E79" s="1807"/>
      <c r="F79" s="1808"/>
      <c r="G79" s="711">
        <f>IF(B79=0,0,ROUND(B79*D79,0))</f>
        <v>6933</v>
      </c>
      <c r="H79" s="1331" t="s">
        <v>163</v>
      </c>
      <c r="I79" s="978"/>
      <c r="J79" s="978"/>
      <c r="K79" s="978"/>
      <c r="L79" s="977" t="s">
        <v>256</v>
      </c>
      <c r="M79" s="352"/>
      <c r="N79" s="975">
        <f>ROUND((投資額!T33*係数!Z14),0)+ROUND((投資額!U33*係数!Z14),0)+ROUND((投資額!V33*係数!Z14),0)+ROUND((投資額!W33*係数!Z14),0)+ROUND((投資額!X33*係数!Z14),0)+ROUND((投資額!Y33*係数!Z14),0)+ROUND((投資額!Z33*係数!Z14),0)+ROUND((投資額!AA33*係数!Z14),0)+ROUND((投資額!AB33*係数!Z14),0)</f>
        <v>18620</v>
      </c>
      <c r="O79" s="976">
        <f>IF(投資額!J33&gt;0,IF(OR(AND(OR(投資額!J33=投資額!K33,投資額!K33=0),投資額!K33=投資額!L33),投資額!L33=0),1,3),"")</f>
        <v>1</v>
      </c>
      <c r="P79" s="977"/>
      <c r="Q79" s="975">
        <f>ROUND((投資額!T28*係数!Z9),0)+ROUND((投資額!U28*係数!Z9),0)+ROUND((投資額!V28*係数!Z9),0)+ROUND((投資額!W28*係数!Z9),0)+ROUND((投資額!X28*係数!Z9),0)+ROUND((投資額!Y28*係数!Z9),0)+ROUND((投資額!Z28*係数!Z9),0)+ROUND((投資額!AA28*係数!Z9),0)+ROUND((投資額!AB28*係数!Z9),0)+ROUND((投資額!T29*係数!Z9),0)+ROUND((投資額!U29*係数!Z9),0)+ROUND((投資額!V29*係数!Z9),0)+ROUND((投資額!W29*係数!Z9),0)+ROUND((投資額!X29*係数!Z9),0)+ROUND((投資額!Y29*係数!Z9),0)+ROUND((投資額!Z29*係数!Z9),0)+ROUND((投資額!AA29*係数!Z9),0)+ROUND((投資額!AB29*係数!Z9),0)</f>
        <v>0</v>
      </c>
      <c r="R79" s="350">
        <f>(投資額!AC28+投資額!AC29)</f>
        <v>0</v>
      </c>
      <c r="S79" s="153"/>
      <c r="T79" s="153"/>
      <c r="U79" s="153"/>
      <c r="V79" s="153"/>
      <c r="W79" s="153"/>
      <c r="X79" s="153"/>
      <c r="Y79" s="153"/>
      <c r="Z79" s="153"/>
      <c r="AA79" s="153"/>
      <c r="AB79" s="153"/>
      <c r="AC79" s="153"/>
      <c r="AD79" s="153"/>
      <c r="AE79" s="153"/>
      <c r="AF79" s="153"/>
      <c r="AG79" s="153"/>
      <c r="AH79" s="181"/>
      <c r="AI79" s="181"/>
      <c r="AJ79" s="181"/>
      <c r="AK79" s="181"/>
      <c r="AL79" s="181"/>
      <c r="AM79" s="181"/>
      <c r="AN79" s="181"/>
      <c r="AO79" s="181"/>
      <c r="AP79" s="181"/>
      <c r="AQ79" s="181"/>
      <c r="AR79" s="181"/>
    </row>
    <row r="80" spans="1:44" s="200" customFormat="1" ht="24" customHeight="1" thickBot="1">
      <c r="A80" s="197"/>
      <c r="B80" s="1013"/>
      <c r="C80" s="1012"/>
      <c r="D80" s="1012"/>
      <c r="E80" s="1012"/>
      <c r="F80" s="1012"/>
      <c r="G80" s="1013"/>
      <c r="H80" s="1012"/>
      <c r="I80" s="978"/>
      <c r="J80" s="978"/>
      <c r="K80" s="978"/>
      <c r="L80" s="977"/>
      <c r="M80" s="352"/>
      <c r="N80" s="975"/>
      <c r="O80" s="977"/>
      <c r="P80" s="977"/>
      <c r="Q80" s="975">
        <f>ROUND((投資額!T37*係数!Z9),0)+ROUND((投資額!U37*係数!Z9),0)+ROUND((投資額!V37*係数!Z9),0)+ROUND((投資額!W37*係数!Z9),0)+ROUND((投資額!X37*係数!Z9),0)+ROUND((投資額!Y37*係数!Z9),0)+ROUND((投資額!Z37*係数!Z9),0)+ROUND((投資額!AA37*係数!Z9),0)+ROUND((投資額!AB37*係数!Z9),0)+ROUND((投資額!T39*係数!Z9),0)+ROUND((投資額!U39*係数!Z9),0)+ROUND((投資額!V39*係数!Z9),0)+ROUND((投資額!W39*係数!Z9),0)+ROUND((投資額!X39*係数!Z9),0)+ROUND((投資額!Y39*係数!Z9),0)+ROUND((投資額!Z39*係数!Z9),0)+ROUND((投資額!AA39*係数!Z9),0)+ROUND((投資額!AB39*係数!Z9),0)</f>
        <v>0</v>
      </c>
      <c r="R80" s="350">
        <f>(投資額!AC37+投資額!AC39)</f>
        <v>0</v>
      </c>
      <c r="S80" s="153"/>
      <c r="T80" s="153"/>
      <c r="U80" s="153"/>
      <c r="V80" s="153"/>
      <c r="W80" s="153"/>
      <c r="X80" s="153"/>
      <c r="Y80" s="153"/>
      <c r="Z80" s="153"/>
      <c r="AA80" s="153"/>
      <c r="AB80" s="153"/>
      <c r="AC80" s="153"/>
      <c r="AD80" s="153"/>
      <c r="AE80" s="153"/>
      <c r="AF80" s="153"/>
      <c r="AG80" s="153"/>
      <c r="AH80" s="181"/>
      <c r="AI80" s="181"/>
      <c r="AJ80" s="181"/>
      <c r="AK80" s="181"/>
      <c r="AL80" s="181"/>
      <c r="AM80" s="181"/>
      <c r="AN80" s="181"/>
      <c r="AO80" s="181"/>
      <c r="AP80" s="181"/>
      <c r="AQ80" s="181"/>
      <c r="AR80" s="181"/>
    </row>
    <row r="81" spans="1:44" s="200" customFormat="1" ht="24" customHeight="1" thickBot="1">
      <c r="A81" s="197"/>
      <c r="B81" s="1815" t="s">
        <v>1175</v>
      </c>
      <c r="C81" s="1841"/>
      <c r="D81" s="1841"/>
      <c r="E81" s="1841"/>
      <c r="F81" s="1842"/>
      <c r="G81" s="1339">
        <f>G71+G75+G79</f>
        <v>116179.63499999999</v>
      </c>
      <c r="H81" s="1340" t="s">
        <v>163</v>
      </c>
      <c r="I81" s="978"/>
      <c r="J81" s="978"/>
      <c r="K81" s="978"/>
      <c r="L81" s="978" t="s">
        <v>257</v>
      </c>
      <c r="M81" s="352"/>
      <c r="N81" s="975">
        <f>SUM(N72:N79)</f>
        <v>3639419</v>
      </c>
      <c r="O81" s="977"/>
      <c r="P81" s="352"/>
      <c r="Q81" s="975">
        <f>ROUND((投資額!T30*係数!Z9),0)+ROUND((投資額!U30*係数!Z9),0)+ROUND((投資額!V30*係数!Z9),0)+ROUND((投資額!W30*係数!Z9),0)+ROUND((投資額!X30*係数!Z9),0)+ROUND((投資額!Y30*係数!Z9),0)+ROUND((投資額!Z30*係数!Z9),0)+ROUND((投資額!AA30*係数!Z9),0)+ROUND((投資額!AB30*係数!Z9),0)+ROUND((投資額!T31*係数!Z9),0)+ROUND((投資額!U31*係数!Z9),0)+ROUND((投資額!V31*係数!Z9),0)+ROUND((投資額!W31*係数!Z9),0)+ROUND((投資額!X31*係数!Z9),0)+ROUND((投資額!Y31*係数!Z9),0)+ROUND((投資額!Z31*係数!Z9),0)+ROUND((投資額!AA31*係数!Z9),0)+ROUND((投資額!AB31*係数!Z9),0)</f>
        <v>2333223</v>
      </c>
      <c r="R81" s="350">
        <f>(投資額!AC30+投資額!AC31)</f>
        <v>30301600</v>
      </c>
      <c r="S81" s="153"/>
      <c r="T81" s="153"/>
      <c r="U81" s="153"/>
      <c r="V81" s="153"/>
      <c r="W81" s="153"/>
      <c r="X81" s="153"/>
      <c r="Y81" s="153"/>
      <c r="Z81" s="153"/>
      <c r="AA81" s="153"/>
      <c r="AB81" s="153"/>
      <c r="AC81" s="153"/>
      <c r="AD81" s="153"/>
      <c r="AE81" s="153"/>
      <c r="AF81" s="153"/>
      <c r="AG81" s="153"/>
      <c r="AH81" s="181"/>
      <c r="AI81" s="181"/>
      <c r="AJ81" s="181"/>
      <c r="AK81" s="181"/>
      <c r="AL81" s="181"/>
      <c r="AM81" s="181"/>
      <c r="AN81" s="181"/>
      <c r="AO81" s="181"/>
      <c r="AP81" s="181"/>
      <c r="AQ81" s="181"/>
      <c r="AR81" s="181"/>
    </row>
    <row r="82" spans="1:44" s="200" customFormat="1" ht="24" customHeight="1">
      <c r="A82" s="197"/>
      <c r="I82" s="978"/>
      <c r="J82" s="978"/>
      <c r="K82" s="978"/>
      <c r="L82" s="977"/>
      <c r="M82" s="352"/>
      <c r="N82" s="352"/>
      <c r="O82" s="352"/>
      <c r="P82" s="352"/>
      <c r="Q82" s="352"/>
      <c r="R82" s="350">
        <f>SUM(R78:R81)</f>
        <v>30301600</v>
      </c>
      <c r="S82" s="153"/>
      <c r="T82" s="153"/>
      <c r="U82" s="153"/>
      <c r="V82" s="153"/>
      <c r="W82" s="153"/>
      <c r="X82" s="153"/>
      <c r="Y82" s="153"/>
      <c r="Z82" s="153"/>
      <c r="AA82" s="153"/>
      <c r="AB82" s="153"/>
      <c r="AC82" s="153"/>
      <c r="AD82" s="153"/>
      <c r="AE82" s="153"/>
      <c r="AF82" s="153"/>
      <c r="AG82" s="153"/>
      <c r="AH82" s="181"/>
      <c r="AI82" s="181"/>
      <c r="AJ82" s="181"/>
      <c r="AK82" s="181"/>
      <c r="AL82" s="181"/>
      <c r="AM82" s="181"/>
      <c r="AN82" s="181"/>
      <c r="AO82" s="181"/>
      <c r="AP82" s="181"/>
      <c r="AQ82" s="181"/>
      <c r="AR82" s="181"/>
    </row>
    <row r="83" spans="1:44" s="200" customFormat="1" ht="24" customHeight="1">
      <c r="A83" s="197"/>
      <c r="B83" s="1012" t="s">
        <v>526</v>
      </c>
      <c r="C83" s="1012"/>
      <c r="D83" s="1012"/>
      <c r="E83" s="1012"/>
      <c r="F83" s="1012"/>
      <c r="G83" s="1012"/>
      <c r="H83" s="1012"/>
      <c r="I83" s="978"/>
      <c r="J83" s="978"/>
      <c r="K83" s="978"/>
      <c r="L83" s="977"/>
      <c r="M83" s="352"/>
      <c r="N83" s="352" t="s">
        <v>258</v>
      </c>
      <c r="O83" s="352"/>
      <c r="P83" s="153"/>
      <c r="Q83" s="153"/>
      <c r="R83" s="153"/>
      <c r="S83" s="153"/>
      <c r="T83" s="153"/>
      <c r="U83" s="153"/>
      <c r="V83" s="153"/>
      <c r="W83" s="153"/>
      <c r="X83" s="153"/>
      <c r="Y83" s="153"/>
      <c r="Z83" s="153"/>
      <c r="AA83" s="153"/>
      <c r="AB83" s="153"/>
      <c r="AC83" s="153"/>
      <c r="AD83" s="153"/>
      <c r="AE83" s="153"/>
      <c r="AF83" s="153"/>
      <c r="AG83" s="153"/>
      <c r="AH83" s="181"/>
      <c r="AI83" s="181"/>
      <c r="AJ83" s="181"/>
      <c r="AK83" s="181"/>
      <c r="AL83" s="181"/>
      <c r="AM83" s="181"/>
      <c r="AN83" s="181"/>
      <c r="AO83" s="181"/>
      <c r="AP83" s="181"/>
      <c r="AQ83" s="181"/>
      <c r="AR83" s="181"/>
    </row>
    <row r="84" spans="1:44" s="200" customFormat="1" ht="24" customHeight="1">
      <c r="A84" s="197"/>
      <c r="B84" s="1012"/>
      <c r="C84" s="1012"/>
      <c r="D84" s="1012"/>
      <c r="E84" s="1012"/>
      <c r="F84" s="1012"/>
      <c r="G84" s="1012"/>
      <c r="H84" s="1012"/>
      <c r="I84" s="978"/>
      <c r="J84" s="978"/>
      <c r="K84" s="978"/>
      <c r="L84" s="978"/>
      <c r="M84" s="153"/>
      <c r="N84" s="153"/>
      <c r="O84" s="153"/>
      <c r="P84" s="153"/>
      <c r="Q84" s="153"/>
      <c r="R84" s="153"/>
      <c r="S84" s="153"/>
      <c r="T84" s="153"/>
      <c r="U84" s="153"/>
      <c r="V84" s="153"/>
      <c r="W84" s="153"/>
      <c r="X84" s="153"/>
      <c r="Y84" s="153"/>
      <c r="Z84" s="153"/>
      <c r="AA84" s="153"/>
      <c r="AB84" s="153"/>
      <c r="AC84" s="153"/>
      <c r="AD84" s="153"/>
      <c r="AE84" s="153"/>
      <c r="AF84" s="153"/>
      <c r="AG84" s="153"/>
      <c r="AH84" s="181"/>
      <c r="AI84" s="181"/>
      <c r="AJ84" s="181"/>
      <c r="AK84" s="181"/>
      <c r="AL84" s="181"/>
      <c r="AM84" s="181"/>
      <c r="AN84" s="181"/>
      <c r="AO84" s="181"/>
      <c r="AP84" s="181"/>
      <c r="AQ84" s="181"/>
      <c r="AR84" s="181"/>
    </row>
    <row r="85" spans="1:44" s="200" customFormat="1" ht="24" customHeight="1">
      <c r="A85" s="153"/>
      <c r="B85" s="1855" t="s">
        <v>525</v>
      </c>
      <c r="C85" s="1855"/>
      <c r="D85" s="1855"/>
      <c r="E85" s="1855"/>
      <c r="F85" s="1855"/>
      <c r="G85" s="1855"/>
      <c r="H85" s="1855"/>
      <c r="I85" s="1335"/>
      <c r="J85" s="978"/>
      <c r="K85" s="978"/>
      <c r="L85" s="978"/>
      <c r="M85" s="153"/>
      <c r="N85" s="153"/>
      <c r="O85" s="153"/>
      <c r="P85" s="153"/>
      <c r="Q85" s="153"/>
      <c r="R85" s="153"/>
      <c r="S85" s="153"/>
      <c r="T85" s="153"/>
      <c r="U85" s="153"/>
      <c r="V85" s="153"/>
      <c r="W85" s="153"/>
      <c r="X85" s="153"/>
      <c r="Y85" s="153"/>
      <c r="Z85" s="153"/>
      <c r="AA85" s="153"/>
      <c r="AB85" s="153"/>
      <c r="AC85" s="153"/>
      <c r="AD85" s="153"/>
      <c r="AE85" s="153"/>
      <c r="AF85" s="153"/>
      <c r="AG85" s="153"/>
      <c r="AH85" s="181"/>
      <c r="AI85" s="181"/>
      <c r="AJ85" s="181"/>
      <c r="AK85" s="181"/>
      <c r="AL85" s="181"/>
      <c r="AM85" s="181"/>
      <c r="AN85" s="181"/>
      <c r="AO85" s="181"/>
      <c r="AP85" s="181"/>
      <c r="AQ85" s="181"/>
      <c r="AR85" s="181"/>
    </row>
    <row r="86" spans="1:44" s="200" customFormat="1" ht="24" customHeight="1" thickBot="1">
      <c r="A86" s="153"/>
      <c r="B86" s="1012"/>
      <c r="C86" s="1012"/>
      <c r="D86" s="1012"/>
      <c r="E86" s="1012"/>
      <c r="F86" s="1012"/>
      <c r="G86" s="1012"/>
      <c r="H86" s="1012"/>
      <c r="I86" s="1335"/>
      <c r="J86" s="978"/>
      <c r="K86" s="978"/>
      <c r="L86" s="978" t="s">
        <v>563</v>
      </c>
      <c r="M86" s="153"/>
      <c r="N86" s="153"/>
      <c r="O86" s="153"/>
      <c r="P86" s="153"/>
      <c r="Q86" s="153"/>
      <c r="R86" s="153"/>
      <c r="S86" s="153"/>
      <c r="T86" s="153"/>
      <c r="U86" s="153"/>
      <c r="V86" s="153"/>
      <c r="W86" s="153"/>
      <c r="X86" s="153"/>
      <c r="Y86" s="153"/>
      <c r="Z86" s="153"/>
      <c r="AA86" s="153"/>
      <c r="AB86" s="153"/>
      <c r="AC86" s="153"/>
      <c r="AD86" s="153"/>
      <c r="AE86" s="153"/>
      <c r="AF86" s="153"/>
      <c r="AG86" s="153"/>
      <c r="AH86" s="181"/>
      <c r="AI86" s="181"/>
      <c r="AJ86" s="181"/>
      <c r="AK86" s="181"/>
      <c r="AL86" s="181"/>
      <c r="AM86" s="181"/>
      <c r="AN86" s="181"/>
      <c r="AO86" s="181"/>
      <c r="AP86" s="181"/>
      <c r="AQ86" s="181"/>
      <c r="AR86" s="181"/>
    </row>
    <row r="87" spans="1:44" ht="24" customHeight="1">
      <c r="A87" s="153"/>
      <c r="B87" s="1863" t="s">
        <v>744</v>
      </c>
      <c r="C87" s="1854"/>
      <c r="D87" s="1854"/>
      <c r="E87" s="1854"/>
      <c r="F87" s="1854"/>
      <c r="G87" s="1854"/>
      <c r="H87" s="1852"/>
      <c r="I87" s="1335"/>
      <c r="J87" s="978"/>
      <c r="K87" s="353" t="s">
        <v>190</v>
      </c>
      <c r="L87" s="745" t="s">
        <v>191</v>
      </c>
      <c r="M87" s="746" t="s">
        <v>169</v>
      </c>
      <c r="N87" s="745" t="s">
        <v>192</v>
      </c>
      <c r="O87" s="746" t="s">
        <v>193</v>
      </c>
      <c r="P87" s="745" t="s">
        <v>194</v>
      </c>
      <c r="Q87" s="746" t="s">
        <v>195</v>
      </c>
      <c r="R87" s="745" t="s">
        <v>196</v>
      </c>
      <c r="S87" s="746" t="s">
        <v>197</v>
      </c>
      <c r="T87" s="745" t="s">
        <v>198</v>
      </c>
      <c r="U87" s="746" t="s">
        <v>199</v>
      </c>
      <c r="V87" s="745" t="s">
        <v>200</v>
      </c>
      <c r="W87" s="746" t="s">
        <v>201</v>
      </c>
      <c r="X87" s="745" t="s">
        <v>202</v>
      </c>
      <c r="Y87" s="746" t="s">
        <v>203</v>
      </c>
      <c r="Z87" s="745" t="s">
        <v>204</v>
      </c>
      <c r="AA87" s="746" t="s">
        <v>205</v>
      </c>
      <c r="AB87" s="745" t="s">
        <v>206</v>
      </c>
      <c r="AC87" s="746" t="s">
        <v>207</v>
      </c>
      <c r="AD87" s="166"/>
      <c r="AE87" s="354"/>
      <c r="AF87" s="354"/>
      <c r="AG87" s="354"/>
    </row>
    <row r="88" spans="1:44" ht="24" customHeight="1" thickBot="1">
      <c r="A88" s="153"/>
      <c r="B88" s="1336">
        <f>投資額!G38</f>
        <v>47549600</v>
      </c>
      <c r="C88" s="449" t="s">
        <v>163</v>
      </c>
      <c r="D88" s="1806">
        <f>CHOOSE((基本入力!C38)+1,係数!E62,係数!E61)</f>
        <v>3.27E-2</v>
      </c>
      <c r="E88" s="1807"/>
      <c r="F88" s="1808"/>
      <c r="G88" s="711">
        <f>ROUND(B88*D88,0)</f>
        <v>1554872</v>
      </c>
      <c r="H88" s="1331" t="s">
        <v>163</v>
      </c>
      <c r="I88" s="1335"/>
      <c r="J88" s="978"/>
      <c r="K88" s="353" t="s">
        <v>564</v>
      </c>
      <c r="L88" s="977">
        <f>IF(基本入力!D56&lt;1,係数!S49,IF(基本入力!D56&lt;8,ROUND(係数!S49*(係数!S49*100)^(基本入力!D56-1),4),AE12))</f>
        <v>1.2E-2</v>
      </c>
      <c r="M88" s="168">
        <f>投資額!T36</f>
        <v>0</v>
      </c>
      <c r="N88" s="977">
        <f>IF(基本入力!H56&lt;1,係数!S49,IF(基本入力!H56&lt;8,ROUND(係数!S49*(係数!S49*100)^(基本入力!H56-1),4),AE12))</f>
        <v>1.2E-2</v>
      </c>
      <c r="O88" s="168">
        <f>投資額!U36</f>
        <v>0</v>
      </c>
      <c r="P88" s="977">
        <f>IF(基本入力!K56&lt;1,係数!S49,IF(基本入力!K56&lt;8,ROUND(係数!S49*(係数!S49*100)^(基本入力!K56-1),4),AE12))</f>
        <v>1.2E-2</v>
      </c>
      <c r="Q88" s="168">
        <f>投資額!V36</f>
        <v>0</v>
      </c>
      <c r="R88" s="977">
        <f>IF(基本入力!N56&lt;1,係数!S49,IF(基本入力!N56&lt;8,ROUND(係数!S49*(係数!S49*100)^(基本入力!N56-1),4),AE12))</f>
        <v>1.2E-2</v>
      </c>
      <c r="S88" s="168">
        <f>投資額!W36</f>
        <v>0</v>
      </c>
      <c r="T88" s="977">
        <f>IF(基本入力!Q56&lt;1,係数!S49,IF(基本入力!Q56&lt;8,ROUND(係数!S49*(係数!S49*100)^(基本入力!Q56-1),4),AE12))</f>
        <v>1.2E-2</v>
      </c>
      <c r="U88" s="168">
        <f>投資額!X36</f>
        <v>0</v>
      </c>
      <c r="V88" s="977">
        <f>IF(基本入力!T56&lt;1,係数!S49,IF(基本入力!T56&lt;8,ROUND(係数!S49*(係数!S49*100)^(基本入力!T56-1),4),AE12))</f>
        <v>1.2E-2</v>
      </c>
      <c r="W88" s="168">
        <f>投資額!Y36</f>
        <v>0</v>
      </c>
      <c r="X88" s="977">
        <f>IF(基本入力!W56&lt;1,係数!S49,IF(基本入力!W56&lt;8,ROUND(係数!S49*(係数!S49*100)^(基本入力!W56-1),4),AE12))</f>
        <v>1.2E-2</v>
      </c>
      <c r="Y88" s="168">
        <f>投資額!Z36</f>
        <v>0</v>
      </c>
      <c r="Z88" s="977">
        <f>IF(基本入力!Z56&lt;1,係数!S49,IF(基本入力!Z56&lt;8,ROUND(係数!S49*(係数!S49*100)^(基本入力!Z56-1),4),AE12))</f>
        <v>1.2E-2</v>
      </c>
      <c r="AA88" s="168">
        <f>投資額!AA36</f>
        <v>0</v>
      </c>
      <c r="AB88" s="977">
        <f>IF(基本入力!AC56&lt;1,係数!S49,IF(基本入力!AC56&lt;8,ROUND(係数!S49*(係数!S49*100)^(基本入力!AC56-1),4),AE12))</f>
        <v>1.2E-2</v>
      </c>
      <c r="AC88" s="206">
        <f>投資額!AB36</f>
        <v>0</v>
      </c>
      <c r="AD88" s="166"/>
      <c r="AE88" s="167"/>
      <c r="AF88" s="167"/>
      <c r="AG88" s="167"/>
    </row>
    <row r="89" spans="1:44" ht="24" customHeight="1">
      <c r="A89" s="153"/>
      <c r="I89" s="1335"/>
      <c r="J89" s="978"/>
      <c r="K89" s="353" t="s">
        <v>565</v>
      </c>
      <c r="L89" s="977">
        <f>IF(基本入力!D57&lt;1,係数!S49,IF(基本入力!D57&lt;8,ROUND(係数!S49*(係数!S49*100)^(基本入力!D57-1),4),AE12))</f>
        <v>1.2E-2</v>
      </c>
      <c r="M89" s="168">
        <f>投資額!T37</f>
        <v>0</v>
      </c>
      <c r="N89" s="977">
        <f>IF(基本入力!H57&lt;1,係数!S49,IF(基本入力!H57&lt;8,ROUND(係数!S49*(係数!S49*100)^(基本入力!H57-1),4),AE12))</f>
        <v>1.2E-2</v>
      </c>
      <c r="O89" s="168">
        <f>投資額!U37</f>
        <v>0</v>
      </c>
      <c r="P89" s="977">
        <f>IF(基本入力!K57&lt;1,係数!S49,IF(基本入力!K57&lt;8,ROUND(係数!S49*(係数!S49*100)^(基本入力!K57-1),4),AE12))</f>
        <v>1.2E-2</v>
      </c>
      <c r="Q89" s="168">
        <f>投資額!V37</f>
        <v>0</v>
      </c>
      <c r="R89" s="977">
        <f>IF(基本入力!N57&lt;1,係数!S49,IF(基本入力!N57&lt;8,ROUND(係数!S49*(係数!S49*100)^(基本入力!N57-1),4),AE12))</f>
        <v>1.2E-2</v>
      </c>
      <c r="S89" s="168">
        <f>投資額!W37</f>
        <v>0</v>
      </c>
      <c r="T89" s="977">
        <f>IF(基本入力!Q57&lt;1,係数!S49,IF(基本入力!Q57&lt;8,ROUND(係数!S49*(係数!S49*100)^(基本入力!Q57-1),4),AE12))</f>
        <v>1.2E-2</v>
      </c>
      <c r="U89" s="168">
        <f>投資額!X37</f>
        <v>0</v>
      </c>
      <c r="V89" s="977">
        <f>IF(基本入力!T57&lt;1,係数!S49,IF(基本入力!T57&lt;8,ROUND(係数!S49*(係数!S49*100)^(基本入力!T57-1),4),AE12))</f>
        <v>1.2E-2</v>
      </c>
      <c r="W89" s="168">
        <f>投資額!Y37</f>
        <v>0</v>
      </c>
      <c r="X89" s="977">
        <f>IF(基本入力!W57&lt;1,係数!S49,IF(基本入力!W57&lt;8,ROUND(係数!S49*(係数!S49*100)^(基本入力!W57-1),4),AE12))</f>
        <v>1.2E-2</v>
      </c>
      <c r="Y89" s="168">
        <f>投資額!Z37</f>
        <v>0</v>
      </c>
      <c r="Z89" s="977">
        <f>IF(基本入力!Z57&lt;1,係数!S49,IF(基本入力!Z57&lt;8,ROUND(係数!S49*(係数!S49*100)^(基本入力!Z57-1),4),AE12))</f>
        <v>1.2E-2</v>
      </c>
      <c r="AA89" s="168">
        <f>投資額!AA37</f>
        <v>0</v>
      </c>
      <c r="AB89" s="977">
        <f>IF(基本入力!AC57&lt;1,係数!S49,IF(基本入力!AC57&lt;8,ROUND(係数!S49*(係数!S49*100)^(基本入力!AC57-1),4),AE12))</f>
        <v>1.2E-2</v>
      </c>
      <c r="AC89" s="206">
        <f>投資額!AB37</f>
        <v>0</v>
      </c>
      <c r="AD89" s="166"/>
      <c r="AE89" s="166"/>
      <c r="AF89" s="166"/>
      <c r="AG89" s="166"/>
    </row>
    <row r="90" spans="1:44" ht="45" customHeight="1">
      <c r="A90" s="153"/>
      <c r="I90" s="346"/>
      <c r="J90" s="153"/>
      <c r="K90" s="353"/>
      <c r="L90" s="352"/>
      <c r="M90" s="168"/>
      <c r="N90" s="977"/>
      <c r="O90" s="168"/>
      <c r="P90" s="977"/>
      <c r="Q90" s="168"/>
      <c r="R90" s="977"/>
      <c r="S90" s="168"/>
      <c r="T90" s="977"/>
      <c r="U90" s="168"/>
      <c r="V90" s="977"/>
      <c r="W90" s="168"/>
      <c r="X90" s="977"/>
      <c r="Y90" s="168"/>
      <c r="Z90" s="977"/>
      <c r="AA90" s="168"/>
      <c r="AB90" s="977"/>
      <c r="AC90" s="206"/>
      <c r="AD90" s="166"/>
      <c r="AE90" s="166"/>
      <c r="AF90" s="166"/>
      <c r="AG90" s="166"/>
    </row>
    <row r="91" spans="1:44" ht="45" customHeight="1">
      <c r="A91" s="153"/>
      <c r="I91" s="153"/>
      <c r="J91" s="153"/>
      <c r="K91" s="167"/>
      <c r="L91" s="167"/>
      <c r="M91" s="167"/>
      <c r="N91" s="167"/>
      <c r="O91" s="167"/>
      <c r="P91" s="167"/>
      <c r="Q91" s="167"/>
      <c r="R91" s="167"/>
      <c r="S91" s="167"/>
      <c r="T91" s="167"/>
      <c r="U91" s="167"/>
      <c r="V91" s="167"/>
      <c r="W91" s="167"/>
      <c r="X91" s="167"/>
      <c r="Y91" s="167"/>
      <c r="Z91" s="167"/>
      <c r="AA91" s="167"/>
      <c r="AB91" s="167"/>
      <c r="AC91" s="167"/>
      <c r="AD91" s="167"/>
      <c r="AE91" s="167"/>
      <c r="AF91" s="167"/>
      <c r="AG91" s="167"/>
    </row>
    <row r="92" spans="1:44" ht="30" customHeight="1">
      <c r="J92" s="153"/>
      <c r="K92" s="167"/>
      <c r="L92" s="167"/>
      <c r="M92" s="167"/>
      <c r="N92" s="167"/>
      <c r="O92" s="167"/>
      <c r="P92" s="167"/>
      <c r="Q92" s="167"/>
      <c r="R92" s="167"/>
      <c r="S92" s="167"/>
      <c r="T92" s="167"/>
      <c r="U92" s="167"/>
      <c r="V92" s="167"/>
      <c r="W92" s="167"/>
      <c r="X92" s="167"/>
      <c r="Y92" s="167"/>
      <c r="Z92" s="167"/>
      <c r="AA92" s="167"/>
      <c r="AB92" s="167"/>
      <c r="AC92" s="167"/>
      <c r="AD92" s="167"/>
      <c r="AE92" s="167"/>
      <c r="AF92" s="167"/>
      <c r="AG92" s="167"/>
    </row>
    <row r="93" spans="1:44" ht="30" customHeight="1">
      <c r="J93" s="153"/>
      <c r="K93" s="166"/>
      <c r="L93" s="1880" t="s">
        <v>566</v>
      </c>
      <c r="M93" s="1880"/>
      <c r="N93" s="1878" t="s">
        <v>192</v>
      </c>
      <c r="O93" s="1878"/>
      <c r="P93" s="1878" t="s">
        <v>194</v>
      </c>
      <c r="Q93" s="1878"/>
      <c r="R93" s="1878" t="s">
        <v>196</v>
      </c>
      <c r="S93" s="1878"/>
      <c r="T93" s="1878" t="s">
        <v>198</v>
      </c>
      <c r="U93" s="1878"/>
      <c r="V93" s="1878" t="s">
        <v>200</v>
      </c>
      <c r="W93" s="1878"/>
      <c r="X93" s="1878" t="s">
        <v>202</v>
      </c>
      <c r="Y93" s="1878"/>
      <c r="Z93" s="1878" t="s">
        <v>204</v>
      </c>
      <c r="AA93" s="1878"/>
      <c r="AB93" s="1878" t="s">
        <v>206</v>
      </c>
      <c r="AC93" s="1878"/>
      <c r="AD93" s="746"/>
      <c r="AE93" s="746" t="s">
        <v>219</v>
      </c>
      <c r="AF93" s="746"/>
      <c r="AG93" s="746" t="s">
        <v>220</v>
      </c>
    </row>
    <row r="94" spans="1:44" ht="30" customHeight="1">
      <c r="J94" s="153"/>
      <c r="K94" s="207" t="s">
        <v>567</v>
      </c>
      <c r="L94" s="353" t="s">
        <v>564</v>
      </c>
      <c r="M94" s="208">
        <f>ROUND(M88*L88, 0)</f>
        <v>0</v>
      </c>
      <c r="N94" s="208"/>
      <c r="O94" s="208">
        <f t="shared" ref="O94:AC94" si="15">ROUND(O88*N88, 0)</f>
        <v>0</v>
      </c>
      <c r="P94" s="208"/>
      <c r="Q94" s="208">
        <f>ROUND(Q88*P88, 0)</f>
        <v>0</v>
      </c>
      <c r="R94" s="208"/>
      <c r="S94" s="208">
        <f t="shared" si="15"/>
        <v>0</v>
      </c>
      <c r="T94" s="208"/>
      <c r="U94" s="208">
        <f t="shared" si="15"/>
        <v>0</v>
      </c>
      <c r="V94" s="208"/>
      <c r="W94" s="208">
        <f t="shared" si="15"/>
        <v>0</v>
      </c>
      <c r="X94" s="208"/>
      <c r="Y94" s="208">
        <f t="shared" si="15"/>
        <v>0</v>
      </c>
      <c r="Z94" s="208"/>
      <c r="AA94" s="208">
        <f t="shared" si="15"/>
        <v>0</v>
      </c>
      <c r="AB94" s="208"/>
      <c r="AC94" s="208">
        <f t="shared" si="15"/>
        <v>0</v>
      </c>
      <c r="AD94" s="166"/>
      <c r="AE94" s="208">
        <f>M88+O88+Q88+S88+U88+W88+Y88+AA88+AC88</f>
        <v>0</v>
      </c>
      <c r="AF94" s="166"/>
      <c r="AG94" s="208">
        <f>M94+O94+Q94+S94+U94+W94+Y94+AA94+AC94</f>
        <v>0</v>
      </c>
    </row>
    <row r="95" spans="1:44" ht="30" customHeight="1">
      <c r="J95" s="153"/>
      <c r="K95" s="166"/>
      <c r="L95" s="353" t="s">
        <v>565</v>
      </c>
      <c r="M95" s="208">
        <f>ROUND(M89*L89, 0)</f>
        <v>0</v>
      </c>
      <c r="N95" s="208"/>
      <c r="O95" s="208">
        <f t="shared" ref="O95:AC95" si="16">ROUND(O89*N89, 0)</f>
        <v>0</v>
      </c>
      <c r="P95" s="208"/>
      <c r="Q95" s="208">
        <f>ROUND(Q89*P89, 0)</f>
        <v>0</v>
      </c>
      <c r="R95" s="208"/>
      <c r="S95" s="208">
        <f t="shared" si="16"/>
        <v>0</v>
      </c>
      <c r="T95" s="208"/>
      <c r="U95" s="208">
        <f t="shared" si="16"/>
        <v>0</v>
      </c>
      <c r="V95" s="208"/>
      <c r="W95" s="208">
        <f t="shared" si="16"/>
        <v>0</v>
      </c>
      <c r="X95" s="208"/>
      <c r="Y95" s="208">
        <f t="shared" si="16"/>
        <v>0</v>
      </c>
      <c r="Z95" s="208"/>
      <c r="AA95" s="208">
        <f t="shared" si="16"/>
        <v>0</v>
      </c>
      <c r="AB95" s="208"/>
      <c r="AC95" s="208">
        <f t="shared" si="16"/>
        <v>0</v>
      </c>
      <c r="AD95" s="166"/>
      <c r="AE95" s="208">
        <f>M89+O89+Q89+S89+U89+W89+Y89+AA89+AC89</f>
        <v>0</v>
      </c>
      <c r="AF95" s="166"/>
      <c r="AG95" s="208">
        <f>M95+O95+Q95+S95+U95+W95+Y95+AA95+AC95</f>
        <v>0</v>
      </c>
    </row>
    <row r="96" spans="1:44" ht="30" customHeight="1">
      <c r="J96" s="153"/>
      <c r="K96" s="166"/>
      <c r="L96" s="390"/>
      <c r="M96" s="208"/>
      <c r="N96" s="166"/>
      <c r="O96" s="208"/>
      <c r="P96" s="166"/>
      <c r="Q96" s="208"/>
      <c r="R96" s="166"/>
      <c r="S96" s="208"/>
      <c r="T96" s="166"/>
      <c r="U96" s="208"/>
      <c r="V96" s="166"/>
      <c r="W96" s="208"/>
      <c r="X96" s="166"/>
      <c r="Y96" s="208"/>
      <c r="Z96" s="166"/>
      <c r="AA96" s="208"/>
      <c r="AB96" s="166"/>
      <c r="AC96" s="208"/>
      <c r="AD96" s="166"/>
      <c r="AE96" s="208"/>
      <c r="AF96" s="166"/>
      <c r="AG96" s="208"/>
    </row>
    <row r="97" spans="2:33" ht="30" customHeight="1">
      <c r="J97" s="153"/>
      <c r="K97" s="167"/>
      <c r="L97" s="390"/>
      <c r="M97" s="208"/>
      <c r="N97" s="167"/>
      <c r="O97" s="208"/>
      <c r="P97" s="167"/>
      <c r="Q97" s="208"/>
      <c r="R97" s="167"/>
      <c r="S97" s="208"/>
      <c r="T97" s="167"/>
      <c r="U97" s="208"/>
      <c r="V97" s="167"/>
      <c r="W97" s="208"/>
      <c r="X97" s="167"/>
      <c r="Y97" s="208"/>
      <c r="Z97" s="167"/>
      <c r="AA97" s="208"/>
      <c r="AB97" s="167"/>
      <c r="AC97" s="208"/>
      <c r="AD97" s="167"/>
      <c r="AE97" s="208"/>
      <c r="AF97" s="166"/>
      <c r="AG97" s="208"/>
    </row>
    <row r="98" spans="2:33" ht="30" customHeight="1">
      <c r="K98" s="167"/>
      <c r="L98" s="390"/>
      <c r="M98" s="208"/>
      <c r="N98" s="167"/>
      <c r="O98" s="208"/>
      <c r="P98" s="167"/>
      <c r="Q98" s="208"/>
      <c r="R98" s="167"/>
      <c r="S98" s="208"/>
      <c r="T98" s="167"/>
      <c r="U98" s="208"/>
      <c r="V98" s="167"/>
      <c r="W98" s="208"/>
      <c r="X98" s="167"/>
      <c r="Y98" s="208"/>
      <c r="Z98" s="167"/>
      <c r="AA98" s="208"/>
      <c r="AB98" s="167"/>
      <c r="AC98" s="208"/>
      <c r="AD98" s="167"/>
      <c r="AE98" s="208"/>
      <c r="AF98" s="166"/>
      <c r="AG98" s="208"/>
    </row>
    <row r="99" spans="2:33">
      <c r="K99" s="167"/>
      <c r="L99" s="390"/>
      <c r="M99" s="208"/>
      <c r="N99" s="167"/>
      <c r="O99" s="208"/>
      <c r="P99" s="167"/>
      <c r="Q99" s="208"/>
      <c r="R99" s="167"/>
      <c r="S99" s="208"/>
      <c r="T99" s="167"/>
      <c r="U99" s="208"/>
      <c r="V99" s="167"/>
      <c r="W99" s="208"/>
      <c r="X99" s="167"/>
      <c r="Y99" s="208"/>
      <c r="Z99" s="167"/>
      <c r="AA99" s="208"/>
      <c r="AB99" s="167"/>
      <c r="AC99" s="208"/>
      <c r="AD99" s="167"/>
      <c r="AE99" s="208"/>
      <c r="AF99" s="166"/>
      <c r="AG99" s="208"/>
    </row>
    <row r="100" spans="2:33" ht="27.75" customHeight="1">
      <c r="K100" s="167"/>
      <c r="L100" s="390"/>
      <c r="M100" s="208"/>
      <c r="N100" s="167"/>
      <c r="O100" s="208"/>
      <c r="P100" s="167"/>
      <c r="Q100" s="208"/>
      <c r="R100" s="167"/>
      <c r="S100" s="208"/>
      <c r="T100" s="167"/>
      <c r="U100" s="208"/>
      <c r="V100" s="167"/>
      <c r="W100" s="208"/>
      <c r="X100" s="167"/>
      <c r="Y100" s="208"/>
      <c r="Z100" s="167"/>
      <c r="AA100" s="208"/>
      <c r="AB100" s="167"/>
      <c r="AC100" s="208"/>
      <c r="AD100" s="167"/>
      <c r="AE100" s="208"/>
      <c r="AF100" s="166"/>
      <c r="AG100" s="208"/>
    </row>
    <row r="101" spans="2:33" ht="27.75" customHeight="1">
      <c r="B101" s="1321"/>
      <c r="C101" s="1321"/>
      <c r="D101" s="1321"/>
      <c r="E101" s="1321"/>
      <c r="F101" s="1321"/>
      <c r="G101" s="1321"/>
      <c r="H101" s="1321"/>
      <c r="K101" s="167"/>
      <c r="L101" s="390"/>
      <c r="M101" s="208"/>
      <c r="N101" s="167"/>
      <c r="O101" s="208"/>
      <c r="P101" s="167"/>
      <c r="Q101" s="208"/>
      <c r="R101" s="167"/>
      <c r="S101" s="208"/>
      <c r="T101" s="167"/>
      <c r="U101" s="208"/>
      <c r="V101" s="167"/>
      <c r="W101" s="208"/>
      <c r="X101" s="167"/>
      <c r="Y101" s="208"/>
      <c r="Z101" s="167"/>
      <c r="AA101" s="208"/>
      <c r="AB101" s="167"/>
      <c r="AC101" s="208"/>
      <c r="AD101" s="167"/>
      <c r="AE101" s="208"/>
      <c r="AF101" s="166"/>
      <c r="AG101" s="208"/>
    </row>
    <row r="102" spans="2:33" ht="27.75" customHeight="1">
      <c r="K102" s="167"/>
      <c r="L102" s="391"/>
      <c r="M102" s="167"/>
      <c r="N102" s="167"/>
      <c r="O102" s="167"/>
      <c r="P102" s="167"/>
      <c r="Q102" s="167"/>
      <c r="R102" s="167"/>
      <c r="S102" s="167"/>
      <c r="T102" s="167"/>
      <c r="U102" s="167"/>
      <c r="V102" s="167"/>
      <c r="W102" s="167"/>
      <c r="X102" s="167"/>
      <c r="Y102" s="167"/>
      <c r="Z102" s="167"/>
      <c r="AA102" s="167"/>
      <c r="AB102" s="167"/>
      <c r="AC102" s="167"/>
      <c r="AD102" s="167"/>
      <c r="AE102" s="167"/>
      <c r="AF102" s="167"/>
      <c r="AG102" s="167"/>
    </row>
    <row r="103" spans="2:33" ht="27.75" customHeight="1">
      <c r="L103" s="392"/>
    </row>
    <row r="104" spans="2:33" ht="27.75" customHeight="1"/>
    <row r="105" spans="2:33" ht="36" customHeight="1"/>
    <row r="106" spans="2:33" ht="27.75" customHeight="1"/>
  </sheetData>
  <mergeCells count="90">
    <mergeCell ref="L93:M93"/>
    <mergeCell ref="N93:O93"/>
    <mergeCell ref="P93:Q93"/>
    <mergeCell ref="R93:S93"/>
    <mergeCell ref="D49:F49"/>
    <mergeCell ref="B81:F81"/>
    <mergeCell ref="D70:E70"/>
    <mergeCell ref="D71:E71"/>
    <mergeCell ref="B67:H67"/>
    <mergeCell ref="B61:D61"/>
    <mergeCell ref="R71:S71"/>
    <mergeCell ref="D88:F88"/>
    <mergeCell ref="B85:H85"/>
    <mergeCell ref="B69:H69"/>
    <mergeCell ref="B87:H87"/>
    <mergeCell ref="B78:C78"/>
    <mergeCell ref="R16:S16"/>
    <mergeCell ref="L16:M16"/>
    <mergeCell ref="L25:M25"/>
    <mergeCell ref="N25:O25"/>
    <mergeCell ref="P25:Q25"/>
    <mergeCell ref="N16:O16"/>
    <mergeCell ref="P16:Q16"/>
    <mergeCell ref="R25:S25"/>
    <mergeCell ref="AB93:AC93"/>
    <mergeCell ref="T93:U93"/>
    <mergeCell ref="V93:W93"/>
    <mergeCell ref="X93:Y93"/>
    <mergeCell ref="Z93:AA93"/>
    <mergeCell ref="AB16:AC16"/>
    <mergeCell ref="AB25:AC25"/>
    <mergeCell ref="T16:U16"/>
    <mergeCell ref="T25:U25"/>
    <mergeCell ref="V16:W16"/>
    <mergeCell ref="V25:W25"/>
    <mergeCell ref="Z16:AA16"/>
    <mergeCell ref="Z25:AA25"/>
    <mergeCell ref="X25:Y25"/>
    <mergeCell ref="X16:Y16"/>
    <mergeCell ref="B2:H2"/>
    <mergeCell ref="B4:H4"/>
    <mergeCell ref="B18:H18"/>
    <mergeCell ref="D6:E6"/>
    <mergeCell ref="D53:F53"/>
    <mergeCell ref="B19:H19"/>
    <mergeCell ref="B5:H5"/>
    <mergeCell ref="B22:H22"/>
    <mergeCell ref="D9:E9"/>
    <mergeCell ref="B8:H8"/>
    <mergeCell ref="B12:H12"/>
    <mergeCell ref="E44:H44"/>
    <mergeCell ref="B52:H52"/>
    <mergeCell ref="B11:H11"/>
    <mergeCell ref="D13:E13"/>
    <mergeCell ref="D16:E16"/>
    <mergeCell ref="B74:C74"/>
    <mergeCell ref="D75:F75"/>
    <mergeCell ref="G74:H74"/>
    <mergeCell ref="D74:F74"/>
    <mergeCell ref="D62:F62"/>
    <mergeCell ref="F70:H70"/>
    <mergeCell ref="B15:H15"/>
    <mergeCell ref="B51:H51"/>
    <mergeCell ref="B48:H48"/>
    <mergeCell ref="C44:D44"/>
    <mergeCell ref="D23:F23"/>
    <mergeCell ref="B29:H29"/>
    <mergeCell ref="B25:F25"/>
    <mergeCell ref="B30:H30"/>
    <mergeCell ref="D39:F39"/>
    <mergeCell ref="B41:F41"/>
    <mergeCell ref="B32:C32"/>
    <mergeCell ref="D33:F33"/>
    <mergeCell ref="D20:F20"/>
    <mergeCell ref="I38:J38"/>
    <mergeCell ref="I37:J37"/>
    <mergeCell ref="D79:F79"/>
    <mergeCell ref="E61:H61"/>
    <mergeCell ref="D78:F78"/>
    <mergeCell ref="B47:H47"/>
    <mergeCell ref="B60:H60"/>
    <mergeCell ref="B55:H55"/>
    <mergeCell ref="B43:H43"/>
    <mergeCell ref="B58:F58"/>
    <mergeCell ref="D56:F56"/>
    <mergeCell ref="E45:F45"/>
    <mergeCell ref="B77:H77"/>
    <mergeCell ref="B70:C70"/>
    <mergeCell ref="B73:H73"/>
    <mergeCell ref="G78:H78"/>
  </mergeCells>
  <phoneticPr fontId="2"/>
  <pageMargins left="0.6" right="0.2" top="1" bottom="0.79" header="0.35433070866141736" footer="0.51181102362204722"/>
  <pageSetup paperSize="9" fitToHeight="3" orientation="portrait" horizontalDpi="200" verticalDpi="200" r:id="rId1"/>
  <headerFooter alignWithMargins="0"/>
  <rowBreaks count="1" manualBreakCount="1">
    <brk id="58" min="1" max="7" man="1"/>
  </rowBreaks>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tabColor indexed="62"/>
    <pageSetUpPr autoPageBreaks="0" fitToPage="1"/>
  </sheetPr>
  <dimension ref="A1:AG64"/>
  <sheetViews>
    <sheetView showGridLines="0" zoomScale="90" zoomScaleNormal="90" zoomScaleSheetLayoutView="100" workbookViewId="0"/>
  </sheetViews>
  <sheetFormatPr defaultColWidth="10.75" defaultRowHeight="14"/>
  <cols>
    <col min="1" max="2" width="5.58203125" style="194" customWidth="1"/>
    <col min="3" max="3" width="6.08203125" style="194" customWidth="1"/>
    <col min="4" max="4" width="13.08203125" style="194" customWidth="1"/>
    <col min="5" max="8" width="14.58203125" style="194" customWidth="1"/>
    <col min="9" max="9" width="11.75" style="194" customWidth="1"/>
    <col min="10" max="18" width="10.08203125" style="194" customWidth="1"/>
    <col min="19" max="19" width="10.75" style="194" customWidth="1"/>
    <col min="20" max="20" width="14.75" style="194" customWidth="1"/>
    <col min="21" max="21" width="14.5" style="194" customWidth="1"/>
    <col min="22" max="24" width="12.75" style="194" customWidth="1"/>
    <col min="25" max="28" width="10.75" style="194"/>
    <col min="29" max="30" width="14.25" style="194" bestFit="1" customWidth="1"/>
    <col min="31" max="16384" width="10.75" style="194"/>
  </cols>
  <sheetData>
    <row r="1" spans="1:33" s="182" customFormat="1" ht="21" customHeight="1">
      <c r="A1" s="182" t="s">
        <v>511</v>
      </c>
    </row>
    <row r="2" spans="1:33" s="182" customFormat="1" ht="21" customHeight="1">
      <c r="A2" s="182" t="s">
        <v>512</v>
      </c>
    </row>
    <row r="3" spans="1:33" s="152" customFormat="1" ht="21" customHeight="1">
      <c r="A3" s="1921" t="s">
        <v>721</v>
      </c>
      <c r="B3" s="1922"/>
      <c r="C3" s="1922"/>
      <c r="D3" s="1922"/>
      <c r="E3" s="1922"/>
      <c r="F3" s="1922"/>
      <c r="G3" s="1922"/>
      <c r="H3" s="1922"/>
    </row>
    <row r="4" spans="1:33" s="152" customFormat="1" ht="21" customHeight="1" thickBot="1">
      <c r="A4" s="221"/>
      <c r="B4" s="222"/>
      <c r="C4" s="222"/>
      <c r="D4" s="222"/>
      <c r="E4" s="222"/>
      <c r="F4" s="222"/>
      <c r="G4" s="222"/>
      <c r="H4" s="222"/>
    </row>
    <row r="5" spans="1:33" ht="21" customHeight="1">
      <c r="A5" s="1927" t="s">
        <v>722</v>
      </c>
      <c r="B5" s="1928"/>
      <c r="C5" s="1928"/>
      <c r="D5" s="1928"/>
      <c r="E5" s="1928"/>
      <c r="F5" s="1928"/>
      <c r="G5" s="1928"/>
      <c r="H5" s="1929"/>
      <c r="I5" s="193"/>
      <c r="J5" s="193"/>
      <c r="K5" s="193"/>
      <c r="L5" s="193"/>
      <c r="M5" s="193"/>
      <c r="N5" s="193"/>
      <c r="O5" s="193"/>
      <c r="P5" s="193"/>
      <c r="Q5" s="193"/>
      <c r="R5" s="193"/>
      <c r="S5" s="193"/>
      <c r="T5" s="193"/>
      <c r="U5" s="193"/>
      <c r="V5" s="193"/>
      <c r="W5" s="193"/>
      <c r="X5" s="193"/>
      <c r="Y5" s="193"/>
      <c r="Z5" s="193"/>
      <c r="AA5" s="193"/>
      <c r="AB5" s="193"/>
    </row>
    <row r="6" spans="1:33" ht="21" customHeight="1" thickBot="1">
      <c r="A6" s="1923">
        <f>IF(基本入力!D8="Y",SUM(係数!D57:H57),ROUND(G6/E6/12,1))</f>
        <v>13.1</v>
      </c>
      <c r="B6" s="1924"/>
      <c r="C6" s="1924"/>
      <c r="D6" s="563" t="s">
        <v>715</v>
      </c>
      <c r="E6" s="1925">
        <f>(SUM(基本入力!C13:C16)+SUM(基本入力!C56:C57))</f>
        <v>245</v>
      </c>
      <c r="F6" s="1926"/>
      <c r="G6" s="564">
        <f>IF(基本入力!D8="Y",ROUND(A6*E6*12,1),IF(基本入力!C9&gt;0,基本入力!C9,基本入力!C8))</f>
        <v>38514</v>
      </c>
      <c r="H6" s="565" t="s">
        <v>716</v>
      </c>
      <c r="I6" s="193"/>
      <c r="J6" s="193"/>
      <c r="K6" s="193"/>
      <c r="L6" s="193"/>
      <c r="M6" s="193"/>
      <c r="N6" s="193"/>
      <c r="O6" s="193"/>
      <c r="P6" s="193"/>
      <c r="Q6" s="193"/>
      <c r="R6" s="193"/>
      <c r="S6" s="193"/>
      <c r="T6" s="193"/>
      <c r="U6" s="193"/>
      <c r="V6" s="193"/>
      <c r="W6" s="193"/>
      <c r="X6" s="193"/>
      <c r="Y6" s="193"/>
      <c r="Z6" s="193"/>
      <c r="AA6" s="193"/>
      <c r="AB6" s="193"/>
    </row>
    <row r="7" spans="1:33" ht="21" customHeight="1">
      <c r="A7" s="223"/>
      <c r="B7" s="223"/>
      <c r="C7" s="223"/>
      <c r="D7" s="223"/>
      <c r="E7" s="223"/>
      <c r="F7" s="223"/>
      <c r="G7" s="223"/>
      <c r="H7" s="223"/>
      <c r="I7" s="193"/>
      <c r="J7" s="193"/>
      <c r="K7" s="193"/>
      <c r="L7" s="193"/>
      <c r="M7" s="193"/>
      <c r="N7" s="193"/>
      <c r="O7" s="193"/>
      <c r="P7" s="193"/>
      <c r="Q7" s="193"/>
      <c r="R7" s="193"/>
      <c r="S7" s="193"/>
      <c r="T7" s="193"/>
      <c r="U7" s="193"/>
      <c r="V7" s="193"/>
      <c r="W7" s="193"/>
      <c r="X7" s="193"/>
      <c r="Y7" s="193"/>
      <c r="Z7" s="193"/>
      <c r="AA7" s="193"/>
      <c r="AB7" s="193"/>
    </row>
    <row r="8" spans="1:33" ht="21" customHeight="1">
      <c r="A8" s="223" t="s">
        <v>513</v>
      </c>
      <c r="B8" s="223"/>
      <c r="C8" s="223"/>
      <c r="D8" s="223"/>
      <c r="E8" s="223"/>
      <c r="F8" s="223"/>
      <c r="G8" s="223"/>
      <c r="H8" s="223"/>
      <c r="I8" s="389"/>
      <c r="J8" s="389"/>
      <c r="K8" s="389"/>
      <c r="L8" s="389"/>
      <c r="M8" s="389"/>
      <c r="N8" s="389"/>
      <c r="O8" s="389"/>
      <c r="P8" s="389"/>
      <c r="Q8" s="389"/>
      <c r="R8" s="389"/>
      <c r="S8" s="389"/>
      <c r="T8" s="389"/>
      <c r="U8" s="389"/>
      <c r="V8" s="389"/>
      <c r="W8" s="389"/>
      <c r="X8" s="389"/>
      <c r="Y8" s="389"/>
      <c r="Z8" s="389"/>
      <c r="AA8" s="389"/>
      <c r="AB8" s="389"/>
      <c r="AC8" s="182"/>
      <c r="AD8" s="182"/>
      <c r="AE8" s="182"/>
      <c r="AF8" s="182"/>
      <c r="AG8" s="182"/>
    </row>
    <row r="9" spans="1:33" s="152" customFormat="1" ht="21" customHeight="1">
      <c r="A9" s="1921" t="s">
        <v>710</v>
      </c>
      <c r="B9" s="1922"/>
      <c r="C9" s="1922"/>
      <c r="D9" s="1922"/>
      <c r="E9" s="1922"/>
      <c r="F9" s="1922"/>
      <c r="G9" s="1922"/>
      <c r="H9" s="1922"/>
      <c r="I9" s="389"/>
      <c r="J9" s="389"/>
      <c r="K9" s="389"/>
      <c r="L9" s="389"/>
      <c r="M9" s="389"/>
      <c r="N9" s="389"/>
      <c r="O9" s="389"/>
      <c r="P9" s="389"/>
      <c r="Q9" s="389"/>
      <c r="R9" s="389"/>
      <c r="S9" s="389"/>
      <c r="T9" s="389"/>
      <c r="U9" s="389"/>
      <c r="V9" s="389"/>
      <c r="W9" s="389"/>
      <c r="X9" s="389"/>
      <c r="Y9" s="389"/>
      <c r="Z9" s="389"/>
      <c r="AA9" s="389"/>
      <c r="AB9" s="389"/>
      <c r="AC9" s="182"/>
      <c r="AD9" s="182"/>
      <c r="AE9" s="182"/>
      <c r="AF9" s="182"/>
      <c r="AG9" s="182"/>
    </row>
    <row r="10" spans="1:33" ht="21" customHeight="1" thickBot="1">
      <c r="A10" s="195"/>
      <c r="B10" s="195"/>
      <c r="C10" s="195"/>
      <c r="D10" s="195"/>
      <c r="E10" s="195"/>
      <c r="F10" s="195"/>
      <c r="G10" s="195"/>
      <c r="H10" s="195"/>
      <c r="I10" s="389"/>
      <c r="J10" s="389"/>
      <c r="K10" s="389"/>
      <c r="L10" s="389"/>
      <c r="M10" s="389"/>
      <c r="N10" s="389"/>
      <c r="O10" s="389"/>
      <c r="P10" s="389"/>
      <c r="Q10" s="389"/>
      <c r="R10" s="389"/>
      <c r="S10" s="389"/>
      <c r="T10" s="389"/>
      <c r="U10" s="389"/>
      <c r="V10" s="389"/>
      <c r="W10" s="389"/>
      <c r="X10" s="389"/>
      <c r="Y10" s="389"/>
      <c r="Z10" s="389"/>
      <c r="AA10" s="389"/>
      <c r="AB10" s="389"/>
      <c r="AC10" s="182"/>
      <c r="AD10" s="182"/>
      <c r="AE10" s="182"/>
      <c r="AF10" s="182"/>
      <c r="AG10" s="182"/>
    </row>
    <row r="11" spans="1:33" ht="21" customHeight="1">
      <c r="A11" s="224"/>
      <c r="B11" s="225"/>
      <c r="C11" s="226"/>
      <c r="D11" s="227" t="s">
        <v>688</v>
      </c>
      <c r="E11" s="1930" t="s">
        <v>164</v>
      </c>
      <c r="F11" s="1930" t="s">
        <v>165</v>
      </c>
      <c r="G11" s="1930" t="s">
        <v>150</v>
      </c>
      <c r="H11" s="1932" t="s">
        <v>730</v>
      </c>
      <c r="I11" s="389"/>
      <c r="J11" s="389"/>
      <c r="K11" s="389"/>
      <c r="L11" s="389"/>
      <c r="M11" s="389"/>
      <c r="N11" s="389"/>
      <c r="O11" s="389"/>
      <c r="P11" s="389"/>
      <c r="Q11" s="389"/>
      <c r="R11" s="389"/>
      <c r="S11" s="389"/>
      <c r="T11" s="389"/>
      <c r="U11" s="389"/>
      <c r="V11" s="389"/>
      <c r="W11" s="389"/>
      <c r="X11" s="389"/>
      <c r="Y11" s="389"/>
      <c r="Z11" s="389"/>
      <c r="AA11" s="389"/>
      <c r="AB11" s="389"/>
      <c r="AC11" s="182"/>
      <c r="AD11" s="182"/>
      <c r="AE11" s="182"/>
      <c r="AF11" s="182"/>
      <c r="AG11" s="182"/>
    </row>
    <row r="12" spans="1:33" ht="21" customHeight="1">
      <c r="A12" s="1888" t="s">
        <v>516</v>
      </c>
      <c r="B12" s="1895" t="s">
        <v>515</v>
      </c>
      <c r="C12" s="1896"/>
      <c r="D12" s="228"/>
      <c r="E12" s="1931"/>
      <c r="F12" s="1931"/>
      <c r="G12" s="1931"/>
      <c r="H12" s="1933"/>
      <c r="I12" s="389"/>
      <c r="J12" s="389"/>
      <c r="K12" s="389"/>
      <c r="L12" s="389"/>
      <c r="M12" s="389"/>
      <c r="N12" s="389"/>
      <c r="O12" s="389"/>
      <c r="P12" s="389"/>
      <c r="Q12" s="389"/>
      <c r="R12" s="389"/>
      <c r="S12" s="389"/>
      <c r="T12" s="389"/>
      <c r="U12" s="389"/>
      <c r="V12" s="389"/>
      <c r="W12" s="389"/>
      <c r="X12" s="389"/>
      <c r="Y12" s="389"/>
      <c r="Z12" s="389"/>
      <c r="AA12" s="389"/>
      <c r="AB12" s="389"/>
      <c r="AC12" s="182"/>
      <c r="AD12" s="182"/>
      <c r="AE12" s="182"/>
      <c r="AF12" s="182"/>
      <c r="AG12" s="182"/>
    </row>
    <row r="13" spans="1:33" ht="21" customHeight="1">
      <c r="A13" s="1889"/>
      <c r="B13" s="229" t="s">
        <v>649</v>
      </c>
      <c r="C13" s="229"/>
      <c r="D13" s="230"/>
      <c r="E13" s="1551">
        <f>IF(基本入力!E17="","",基本入力!E17)</f>
        <v>43595</v>
      </c>
      <c r="F13" s="1551"/>
      <c r="G13" s="941"/>
      <c r="H13" s="231"/>
      <c r="I13" s="389"/>
      <c r="J13" s="389"/>
      <c r="K13" s="389"/>
      <c r="L13" s="389"/>
      <c r="M13" s="389"/>
      <c r="N13" s="389"/>
      <c r="O13" s="389"/>
      <c r="P13" s="389"/>
      <c r="Q13" s="389"/>
      <c r="R13" s="389"/>
      <c r="S13" s="389"/>
      <c r="T13" s="389"/>
      <c r="U13" s="389"/>
      <c r="V13" s="389"/>
      <c r="W13" s="389"/>
      <c r="X13" s="389"/>
      <c r="Y13" s="389"/>
      <c r="Z13" s="389"/>
      <c r="AA13" s="389"/>
      <c r="AB13" s="389"/>
      <c r="AC13" s="182"/>
      <c r="AD13" s="182"/>
      <c r="AE13" s="182"/>
      <c r="AF13" s="182"/>
      <c r="AG13" s="182"/>
    </row>
    <row r="14" spans="1:33" ht="21" customHeight="1">
      <c r="A14" s="232"/>
      <c r="B14" s="1890" t="s">
        <v>711</v>
      </c>
      <c r="C14" s="1891"/>
      <c r="D14" s="237" t="s">
        <v>729</v>
      </c>
      <c r="E14" s="942" t="str">
        <f>IF(基本入力!C18="","",基本入力!C18)</f>
        <v/>
      </c>
      <c r="F14" s="947"/>
      <c r="G14" s="942" t="str">
        <f>IF(E14="","",E14+F14)</f>
        <v/>
      </c>
      <c r="H14" s="231"/>
      <c r="I14" s="388"/>
      <c r="J14" s="389"/>
      <c r="K14" s="389"/>
      <c r="L14" s="389"/>
      <c r="M14" s="389"/>
      <c r="N14" s="389"/>
      <c r="O14" s="389"/>
      <c r="P14" s="389"/>
      <c r="Q14" s="389"/>
      <c r="R14" s="389"/>
      <c r="S14" s="389"/>
      <c r="T14" s="389"/>
      <c r="U14" s="389"/>
      <c r="V14" s="389"/>
      <c r="W14" s="389"/>
      <c r="X14" s="389"/>
      <c r="Y14" s="389"/>
      <c r="Z14" s="389"/>
      <c r="AA14" s="389"/>
      <c r="AB14" s="389"/>
      <c r="AC14" s="182"/>
      <c r="AD14" s="182"/>
      <c r="AE14" s="182"/>
      <c r="AF14" s="182"/>
      <c r="AG14" s="182"/>
    </row>
    <row r="15" spans="1:33" ht="21" customHeight="1">
      <c r="A15" s="233"/>
      <c r="B15" s="1890" t="s">
        <v>676</v>
      </c>
      <c r="C15" s="1891"/>
      <c r="D15" s="237" t="s">
        <v>728</v>
      </c>
      <c r="E15" s="943" t="str">
        <f>IF(基本入力!C17="","",基本入力!C17)</f>
        <v/>
      </c>
      <c r="F15" s="1294"/>
      <c r="G15" s="943" t="str">
        <f>IF(E15="","",E15+F15)</f>
        <v/>
      </c>
      <c r="H15" s="231"/>
      <c r="I15" s="388"/>
      <c r="J15" s="389"/>
      <c r="K15" s="389"/>
      <c r="L15" s="389"/>
      <c r="M15" s="389"/>
      <c r="N15" s="389"/>
      <c r="O15" s="389"/>
      <c r="P15" s="389"/>
      <c r="Q15" s="389"/>
      <c r="R15" s="389"/>
      <c r="S15" s="389"/>
      <c r="T15" s="389"/>
      <c r="U15" s="389"/>
      <c r="V15" s="389"/>
      <c r="W15" s="389"/>
      <c r="X15" s="389"/>
      <c r="Y15" s="389"/>
      <c r="Z15" s="389"/>
      <c r="AA15" s="389"/>
      <c r="AB15" s="389"/>
      <c r="AC15" s="182"/>
      <c r="AD15" s="182"/>
      <c r="AE15" s="182"/>
      <c r="AF15" s="182"/>
      <c r="AG15" s="182"/>
    </row>
    <row r="16" spans="1:33" ht="28.5" customHeight="1">
      <c r="A16" s="1888" t="s">
        <v>166</v>
      </c>
      <c r="B16" s="1892" t="s">
        <v>731</v>
      </c>
      <c r="C16" s="1893"/>
      <c r="D16" s="1894"/>
      <c r="E16" s="944" t="str">
        <f>IF(E14="","",IF(E14&gt;0,ROUND(E15/E14,0),0))</f>
        <v/>
      </c>
      <c r="F16" s="944" t="str">
        <f>IF(F14="","",IF(F14&gt;0,ROUND(F15/F14,0),0))</f>
        <v/>
      </c>
      <c r="G16" s="944" t="str">
        <f>IF(G14="","",ROUND(G15/G14,0))</f>
        <v/>
      </c>
      <c r="H16" s="231"/>
      <c r="I16" s="388"/>
      <c r="J16" s="389"/>
      <c r="K16" s="389"/>
      <c r="L16" s="389"/>
      <c r="M16" s="389"/>
      <c r="N16" s="389"/>
      <c r="O16" s="389"/>
      <c r="P16" s="389"/>
      <c r="Q16" s="389"/>
      <c r="R16" s="389"/>
      <c r="S16" s="389"/>
      <c r="T16" s="389"/>
      <c r="U16" s="389"/>
      <c r="V16" s="389"/>
      <c r="W16" s="389"/>
      <c r="X16" s="389"/>
      <c r="Y16" s="389"/>
      <c r="Z16" s="389"/>
      <c r="AA16" s="389"/>
      <c r="AB16" s="389"/>
      <c r="AC16" s="182"/>
      <c r="AD16" s="182"/>
      <c r="AE16" s="182"/>
      <c r="AF16" s="182"/>
      <c r="AG16" s="182"/>
    </row>
    <row r="17" spans="1:33" ht="21" customHeight="1">
      <c r="A17" s="1889"/>
      <c r="B17" s="1890" t="s">
        <v>712</v>
      </c>
      <c r="C17" s="1891"/>
      <c r="D17" s="237" t="s">
        <v>727</v>
      </c>
      <c r="E17" s="945" t="str">
        <f>IF(基本入力!C19="","",基本入力!C19)</f>
        <v/>
      </c>
      <c r="F17" s="948"/>
      <c r="G17" s="942"/>
      <c r="H17" s="231"/>
      <c r="I17" s="388"/>
      <c r="J17" s="389"/>
      <c r="K17" s="389"/>
      <c r="L17" s="389"/>
      <c r="M17" s="389"/>
      <c r="N17" s="389"/>
      <c r="O17" s="389"/>
      <c r="P17" s="389"/>
      <c r="Q17" s="389"/>
      <c r="R17" s="389"/>
      <c r="S17" s="389"/>
      <c r="T17" s="389"/>
      <c r="U17" s="389"/>
      <c r="V17" s="389"/>
      <c r="W17" s="389"/>
      <c r="X17" s="389"/>
      <c r="Y17" s="389"/>
      <c r="Z17" s="389"/>
      <c r="AA17" s="389"/>
      <c r="AB17" s="389"/>
      <c r="AC17" s="182"/>
      <c r="AD17" s="182"/>
      <c r="AE17" s="182"/>
      <c r="AF17" s="182"/>
      <c r="AG17" s="182"/>
    </row>
    <row r="18" spans="1:33" ht="27" customHeight="1" thickBot="1">
      <c r="A18" s="234"/>
      <c r="B18" s="1897" t="s">
        <v>677</v>
      </c>
      <c r="C18" s="1898"/>
      <c r="D18" s="238" t="s">
        <v>726</v>
      </c>
      <c r="E18" s="946" t="str">
        <f>IF(E14&gt;0,IF(E14=E17,E15,ROUND(E16*E17,0)),"")</f>
        <v/>
      </c>
      <c r="F18" s="946" t="str">
        <f>IF(F14&gt;0,IF(F14=F17,F15,ROUND(F16*F17,0)),"")</f>
        <v/>
      </c>
      <c r="G18" s="946" t="str">
        <f>IF(F14&gt;0,E18+F18,E18)</f>
        <v/>
      </c>
      <c r="H18" s="235"/>
      <c r="I18" s="388"/>
      <c r="J18" s="389"/>
      <c r="K18" s="389"/>
      <c r="L18" s="389"/>
      <c r="M18" s="389"/>
      <c r="N18" s="389"/>
      <c r="O18" s="389"/>
      <c r="P18" s="389"/>
      <c r="Q18" s="389"/>
      <c r="R18" s="389"/>
      <c r="S18" s="389"/>
      <c r="T18" s="389"/>
      <c r="U18" s="389"/>
      <c r="V18" s="389"/>
      <c r="W18" s="389"/>
      <c r="X18" s="389"/>
      <c r="Y18" s="389"/>
      <c r="Z18" s="389"/>
      <c r="AA18" s="389"/>
      <c r="AB18" s="389"/>
      <c r="AC18" s="182"/>
      <c r="AD18" s="182"/>
      <c r="AE18" s="182"/>
      <c r="AF18" s="182"/>
      <c r="AG18" s="182"/>
    </row>
    <row r="19" spans="1:33" ht="21" customHeight="1" thickBot="1">
      <c r="A19" s="223"/>
      <c r="B19" s="223"/>
      <c r="C19" s="223"/>
      <c r="D19" s="223"/>
      <c r="E19" s="236"/>
      <c r="F19" s="236"/>
      <c r="G19" s="236"/>
      <c r="H19" s="236"/>
      <c r="I19" s="388"/>
      <c r="J19" s="389"/>
      <c r="K19" s="389"/>
      <c r="L19" s="389"/>
      <c r="M19" s="389"/>
      <c r="N19" s="389"/>
      <c r="O19" s="389"/>
      <c r="P19" s="389"/>
      <c r="Q19" s="389"/>
      <c r="R19" s="389"/>
      <c r="S19" s="389"/>
      <c r="T19" s="389"/>
      <c r="U19" s="389"/>
      <c r="V19" s="389"/>
      <c r="W19" s="389"/>
      <c r="X19" s="389"/>
      <c r="Y19" s="389"/>
      <c r="Z19" s="389"/>
      <c r="AA19" s="389"/>
      <c r="AB19" s="389"/>
      <c r="AC19" s="182"/>
      <c r="AD19" s="182"/>
      <c r="AE19" s="182"/>
      <c r="AF19" s="182"/>
      <c r="AG19" s="182"/>
    </row>
    <row r="20" spans="1:33" ht="21" customHeight="1">
      <c r="A20" s="1899" t="s">
        <v>664</v>
      </c>
      <c r="B20" s="1300"/>
      <c r="C20" s="1301"/>
      <c r="D20" s="1302" t="s">
        <v>689</v>
      </c>
      <c r="E20" s="1909" t="s">
        <v>643</v>
      </c>
      <c r="F20" s="1909" t="s">
        <v>665</v>
      </c>
      <c r="G20" s="1909" t="s">
        <v>1097</v>
      </c>
      <c r="H20" s="1949" t="s">
        <v>1096</v>
      </c>
      <c r="I20" s="950"/>
      <c r="J20" s="951" t="s">
        <v>167</v>
      </c>
      <c r="K20" s="951"/>
      <c r="L20" s="951"/>
      <c r="M20" s="951"/>
      <c r="N20" s="951"/>
      <c r="O20" s="951"/>
      <c r="P20" s="951"/>
      <c r="Q20" s="951"/>
      <c r="R20" s="951"/>
      <c r="S20" s="951"/>
      <c r="T20" s="951" t="s">
        <v>168</v>
      </c>
      <c r="U20" s="951"/>
      <c r="V20" s="951"/>
      <c r="W20" s="951"/>
      <c r="X20" s="951"/>
      <c r="Y20" s="951"/>
      <c r="Z20" s="951"/>
      <c r="AA20" s="951"/>
      <c r="AB20" s="951"/>
    </row>
    <row r="21" spans="1:33" ht="21" customHeight="1">
      <c r="A21" s="1900"/>
      <c r="B21" s="1911" t="s">
        <v>515</v>
      </c>
      <c r="C21" s="1920"/>
      <c r="D21" s="1303"/>
      <c r="E21" s="1910"/>
      <c r="F21" s="1945"/>
      <c r="G21" s="1948"/>
      <c r="H21" s="1950"/>
      <c r="I21" s="950"/>
      <c r="J21" s="1304" t="s">
        <v>170</v>
      </c>
      <c r="K21" s="1304" t="s">
        <v>171</v>
      </c>
      <c r="L21" s="1304" t="s">
        <v>172</v>
      </c>
      <c r="M21" s="1304" t="s">
        <v>173</v>
      </c>
      <c r="N21" s="1304" t="s">
        <v>174</v>
      </c>
      <c r="O21" s="1304" t="s">
        <v>175</v>
      </c>
      <c r="P21" s="1304" t="s">
        <v>176</v>
      </c>
      <c r="Q21" s="1304" t="s">
        <v>177</v>
      </c>
      <c r="R21" s="1304" t="s">
        <v>178</v>
      </c>
      <c r="S21" s="1304" t="s">
        <v>866</v>
      </c>
      <c r="T21" s="1304" t="s">
        <v>170</v>
      </c>
      <c r="U21" s="1304" t="s">
        <v>171</v>
      </c>
      <c r="V21" s="1304" t="s">
        <v>172</v>
      </c>
      <c r="W21" s="1304" t="s">
        <v>173</v>
      </c>
      <c r="X21" s="1304" t="s">
        <v>174</v>
      </c>
      <c r="Y21" s="1304" t="s">
        <v>175</v>
      </c>
      <c r="Z21" s="1304" t="s">
        <v>176</v>
      </c>
      <c r="AA21" s="1304" t="s">
        <v>177</v>
      </c>
      <c r="AB21" s="1304" t="s">
        <v>178</v>
      </c>
      <c r="AC21" s="483" t="s">
        <v>866</v>
      </c>
    </row>
    <row r="22" spans="1:33" ht="21" customHeight="1">
      <c r="A22" s="1900"/>
      <c r="B22" s="1914" t="s">
        <v>672</v>
      </c>
      <c r="C22" s="1915"/>
      <c r="D22" s="1916"/>
      <c r="E22" s="1305">
        <f>IF(AVERAGE(K22,L22,M22,N22,O22,P22,Q22,R22)=0,J22,IF(AND(基本入力!C29=0,AVERAGE(L22,M22,N22,O22,P22,Q22,R22)=0),K22,IF(AND(基本入力!C29=0,AVERAGE(K22,M22,N22,O22,P22,Q22,R22)=0),L22,IF(AND(基本入力!C29=0,AVERAGE(K22,L22,N22,O22,P22,Q22,R22)=0),M22,IF(AND(基本入力!C29=0,AVERAGE(K22,L22,M22,O22,P22,Q22,R22)=0),N22,IF(AND(基本入力!C29=0,AVERAGE(K22,L22,M22,N22,P22,Q22,R22)=0),O22,"   （混在）"))))))</f>
        <v>11910</v>
      </c>
      <c r="F22" s="1305">
        <f>IF(AND(基本入力!C29=1,AVERAGE(基本入力!E$41,基本入力!I$41,基本入力!L$41,基本入力!O$41,基本入力!R$41,基本入力!U$41,基本入力!X$41,基本入力!AA$41,基本入力!AD$41)=0),SUM(基本入力!C$13:C$16)+SUM(基本入力!C$56:C$57),IF(AND(基本入力!C29=1,AVERAGE(基本入力!E$41,基本入力!I$41,基本入力!L$41,基本入力!O$41,基本入力!R$41,基本入力!U$41,基本入力!X$41,基本入力!AA$41,基本入力!AD$41)&gt;0),SUM(基本入力!C$13:C$16)+SUM(基本入力!C$56:C$57)-SUM(SUM(基本入力!G$13:G$16),SUM(基本入力!J$13:J$16),SUM(基本入力!M$13:M$16),SUM(基本入力!P$13:P$16),SUM(基本入力!S$13:S$16),SUM(基本入力!V$13:V$16),SUM(基本入力!Y$13:Y$16),SUM(基本入力!AB$13:AB$16))+SUM(基本入力!G29,基本入力!J29,基本入力!M29,基本入力!P29,基本入力!S29,基本入力!V29,基本入力!Y29,基本入力!AB29),基本入力!G29+基本入力!J29+基本入力!M29+基本入力!P29+基本入力!S29+基本入力!V29+基本入力!Y29+基本入力!AB29))</f>
        <v>245</v>
      </c>
      <c r="G22" s="1306">
        <f>AC22</f>
        <v>2917950</v>
      </c>
      <c r="H22" s="1307" t="s">
        <v>650</v>
      </c>
      <c r="I22" s="950"/>
      <c r="J22" s="707">
        <f>IF(基本入力!C29=1,CHOOSE((基本入力!E29)+1,係数!C4,係数!D4,係数!E4,係数!F4,係数!G4,係数!H4,係数!I4,係数!J4,係数!K4,係数!L4,係数!M4,係数!N4,係数!O4,係数!P4,係数!Q4,係数!R4,係数!S4,係数!T4,係数!U4,係数!V4,係数!W4,係数!X4,係数!Y4),0)*CHOOSE((基本入力!C7+1),(基本入力!E40+1),1)</f>
        <v>11910</v>
      </c>
      <c r="K22" s="707">
        <f>IF(基本入力!G$29&gt;0,CHOOSE((基本入力!$I$29)+1,係数!$C4,係数!$D4,係数!$E4,係数!$F4,係数!$G4,係数!$H4,係数!$I4,係数!$J4,係数!$K4,係数!$L4,係数!$M4,係数!$N4,係数!$O4,係数!$P4,係数!$Q4,係数!$R4,係数!$S4,係数!$T4,係数!$U4,係数!$V4,係数!$W4,係数!$X4,係数!$Y4),0)*CHOOSE((基本入力!$C$7+1),(基本入力!$I$40+1),1)</f>
        <v>0</v>
      </c>
      <c r="L22" s="707">
        <f>IF(基本入力!J$29&gt;0,CHOOSE((基本入力!$L$29)+1,係数!$C4,係数!$D4,係数!$E4,係数!$F4,係数!$G4,係数!$H4,係数!$I4,係数!$J4,係数!$K4,係数!$L4,係数!$M4,係数!$N4,係数!$O4,係数!$P4,係数!$Q4,係数!$R4,係数!$S4,係数!$T4,係数!$U4,係数!$V4,係数!$W4,係数!$X4,係数!$Y4),0)*CHOOSE((基本入力!$C$7+1),(基本入力!$I$40+1),1)</f>
        <v>0</v>
      </c>
      <c r="M22" s="707">
        <f>IF(基本入力!M$29&gt;0,CHOOSE((基本入力!$O$29)+1,係数!$C4,係数!$D4,係数!$E4,係数!$F4,係数!$G4,係数!$H4,係数!$I4,係数!$J4,係数!$K4,係数!$L4,係数!$M4,係数!$N4,係数!$O4,係数!$P4,係数!$Q4,係数!$R4,係数!$S4,係数!$T4,係数!$U4,係数!$V4,係数!$W4,係数!$X4,係数!$Y4),0)*CHOOSE((基本入力!$C$7+1),(基本入力!$I$40+1),1)</f>
        <v>0</v>
      </c>
      <c r="N22" s="707">
        <f>IF(基本入力!P$29&gt;0,CHOOSE((基本入力!$R$29)+1,係数!$C4,係数!$D4,係数!$E4,係数!$F4,係数!$G4,係数!$H4,係数!$I4,係数!$J4,係数!$K4,係数!$L4,係数!$M4,係数!$N4,係数!$O4,係数!$P4,係数!$Q4,係数!$R4,係数!$S4,係数!$T4,係数!$U4,係数!$V4,係数!$W4,係数!$X4,係数!$Y4),0)*CHOOSE((基本入力!$C$7+1),(基本入力!$I$40+1),1)</f>
        <v>0</v>
      </c>
      <c r="O22" s="707">
        <f>IF(基本入力!S$29&gt;0,CHOOSE((基本入力!$U$29)+1,係数!$C4,係数!$D4,係数!$E4,係数!$F4,係数!$G4,係数!$H4,係数!$I4,係数!$J4,係数!$K4,係数!$L4,係数!$M4,係数!$N4,係数!$O4,係数!$P4,係数!$Q4,係数!$R4,係数!$S4,係数!$T4,係数!$U4,係数!$V4,係数!$W4,係数!$X4,係数!$Y4),0)*CHOOSE((基本入力!$C$7+1),(基本入力!$I$40+1),1)</f>
        <v>0</v>
      </c>
      <c r="P22" s="707">
        <f>IF(基本入力!V$29&gt;0,CHOOSE((基本入力!$X$29)+1,係数!$C4,係数!$D4,係数!$E4,係数!$F4,係数!$G4,係数!$H4,係数!$I4,係数!$J4,係数!$K4,係数!$L4,係数!$M4,係数!$N4,係数!$O4,係数!$P4,係数!$Q4,係数!$R4,係数!$S4,係数!$T4,係数!$U4,係数!$V4,係数!$W4,係数!$X4,係数!$Y4),0)*CHOOSE((基本入力!$C$7+1),(基本入力!$I$40+1),1)</f>
        <v>0</v>
      </c>
      <c r="Q22" s="707">
        <f>IF(基本入力!Y$29&gt;0,CHOOSE((基本入力!$AA$29)+1,係数!$C4,係数!$D4,係数!$E4,係数!$F4,係数!$G4,係数!$H4,係数!$I4,係数!$J4,係数!$K4,係数!$L4,係数!$M4,係数!$N4,係数!$O4,係数!$P4,係数!$Q4,係数!$R4,係数!$S4,係数!$T4,係数!$U4,係数!$V4,係数!$W4,係数!$X4,係数!$Y4),0)*CHOOSE((基本入力!$C$7+1),(基本入力!$I$40+1),1)</f>
        <v>0</v>
      </c>
      <c r="R22" s="707">
        <f>IF(基本入力!AB$29&gt;0,CHOOSE((基本入力!$AD$29)+1,係数!$C4,係数!$D4,係数!$E4,係数!$F4,係数!$G4,係数!$H4,係数!$I4,係数!$J4,係数!$K4,係数!$L4,係数!$M4,係数!$N4,係数!$O4,係数!$P4,係数!$Q4,係数!$R4,係数!$S4,係数!$T4,係数!$U4,係数!$V4,係数!$W4,係数!$X4,係数!$Y4),0)*CHOOSE((基本入力!$C$7+1),(基本入力!$I$40+1),1)</f>
        <v>0</v>
      </c>
      <c r="S22" s="707">
        <f>SUM(J22:R22)</f>
        <v>11910</v>
      </c>
      <c r="T22" s="708">
        <f>J22*($F22-基本入力!G29-基本入力!J29-基本入力!M29-基本入力!P29-基本入力!S29-基本入力!V29-基本入力!Y29-基本入力!AB29)</f>
        <v>2917950</v>
      </c>
      <c r="U22" s="708">
        <f>K22*基本入力!G29</f>
        <v>0</v>
      </c>
      <c r="V22" s="708">
        <f>L22*基本入力!J29</f>
        <v>0</v>
      </c>
      <c r="W22" s="708">
        <f>M22*基本入力!M29</f>
        <v>0</v>
      </c>
      <c r="X22" s="708">
        <f>N22*基本入力!P29</f>
        <v>0</v>
      </c>
      <c r="Y22" s="708">
        <f>O22*基本入力!S29</f>
        <v>0</v>
      </c>
      <c r="Z22" s="708">
        <f>P22*基本入力!V29</f>
        <v>0</v>
      </c>
      <c r="AA22" s="708">
        <f>Q22*基本入力!Y29</f>
        <v>0</v>
      </c>
      <c r="AB22" s="708">
        <f>R22*基本入力!AB29</f>
        <v>0</v>
      </c>
      <c r="AC22" s="862">
        <f>SUM(T22:AB22)</f>
        <v>2917950</v>
      </c>
      <c r="AD22" s="949"/>
    </row>
    <row r="23" spans="1:33" ht="21" customHeight="1">
      <c r="A23" s="1900"/>
      <c r="B23" s="1914" t="s">
        <v>673</v>
      </c>
      <c r="C23" s="1915"/>
      <c r="D23" s="1916"/>
      <c r="E23" s="1305">
        <f>IF(OR(E24="   （混在）",E25="   （混在）"), "   （混在）",E24+E25)</f>
        <v>25810</v>
      </c>
      <c r="F23" s="1305">
        <f>IF(F24=0, F25, F24)</f>
        <v>245</v>
      </c>
      <c r="G23" s="1306">
        <f>G24+G25</f>
        <v>6323450</v>
      </c>
      <c r="H23" s="1307" t="s">
        <v>541</v>
      </c>
      <c r="I23" s="950"/>
      <c r="J23" s="707"/>
      <c r="K23" s="707"/>
      <c r="L23" s="707"/>
      <c r="M23" s="707"/>
      <c r="N23" s="707"/>
      <c r="O23" s="707"/>
      <c r="P23" s="707"/>
      <c r="Q23" s="707"/>
      <c r="R23" s="707"/>
      <c r="S23" s="707"/>
      <c r="T23" s="708"/>
      <c r="U23" s="708"/>
      <c r="V23" s="708"/>
      <c r="W23" s="708"/>
      <c r="X23" s="708"/>
      <c r="Y23" s="708"/>
      <c r="Z23" s="708"/>
      <c r="AA23" s="708"/>
      <c r="AB23" s="708"/>
      <c r="AC23" s="862"/>
      <c r="AD23" s="949"/>
    </row>
    <row r="24" spans="1:33" ht="21" hidden="1" customHeight="1">
      <c r="A24" s="1900"/>
      <c r="B24" s="1914" t="s">
        <v>673</v>
      </c>
      <c r="C24" s="1915"/>
      <c r="D24" s="1916"/>
      <c r="E24" s="1305">
        <f>IF(AVERAGE(K24,L24,M24,N24,O24,P24,Q24,R24)=0,J24,IF(AND(基本入力!C30=0,AVERAGE(L24,M24,N24,O24,P24,Q24,R24)=0),K24,IF(AND(基本入力!C30=0,AVERAGE(K24,M24,N24,O24,P24,Q24,R24)=0),L24,IF(AND(基本入力!C30=0,AVERAGE(K24,L24,N24,O24,P24,Q24,R24)=0),M24,IF(AND(基本入力!C30=0,AVERAGE(K24,L24,M24,O24,P24,Q24,R24)=0),N24,IF(AND(基本入力!C30=0,AVERAGE(K24,L24,M24,N24,P24,Q24,R24)=0),O24,"   （混在）"))))))</f>
        <v>5030</v>
      </c>
      <c r="F24" s="1305">
        <f>IF(基本入力!C30=1,SUM(基本入力!C$13:C$16)+SUM(基本入力!C$56:C$57),0)</f>
        <v>245</v>
      </c>
      <c r="G24" s="1306">
        <f>AC24</f>
        <v>1232350</v>
      </c>
      <c r="H24" s="1307" t="s">
        <v>650</v>
      </c>
      <c r="I24" s="950"/>
      <c r="J24" s="707">
        <f>IF(基本入力!C30=1,IF(基本入力!$E$41=0,CHOOSE((基本入力!$E$30)+1,係数!$C5,係数!$D5,係数!$E5,係数!$F5,係数!$G5,係数!$H5,係数!$I5,係数!$J5,係数!$K5,係数!$L5,係数!$M5,係数!$N5,係数!$O5,係数!$P5,係数!$Q5,係数!$R5,係数!$S5,係数!$T5,係数!$U5,係数!$V5,係数!$W5,係数!$X5,係数!$Y5)*CHOOSE((基本入力!$C$7+1),(基本入力!$E$40+1),1),(CHOOSE((基本入力!$E$30)+1,係数!$C19,係数!$D19,係数!$E19,係数!$F19,係数!$G19,係数!$H19,係数!$I9,係数!$J19,係数!$K19,係数!$L19,係数!$M19,係数!$N19,係数!$O19,係数!$P19,係数!$Q19,係数!$R19,係数!$S19,係数!$T19,係数!$U19,係数!$V19,係数!$W19,係数!$X19,係数!$Y19))*CHOOSE((基本入力!$C$7+1),(基本入力!$E$40+1),1)),0)</f>
        <v>5030</v>
      </c>
      <c r="K24" s="970">
        <f>IF(基本入力!G30&gt;0,IF(基本入力!$I$41=0,CHOOSE((基本入力!$I$30)+1,係数!$C5,係数!$D5,係数!$E5,係数!$F5,係数!$G5,係数!$H5,係数!$I5,係数!$J5,係数!$K5,係数!$L5,係数!$M5,係数!$N5,係数!$O5,係数!$P5,係数!$Q5,係数!$R5,係数!$S5,係数!$T5,係数!$U5,係数!$V5,係数!$W5,係数!$X5,係数!$Y5)*CHOOSE((基本入力!$C$7+1),(基本入力!$I$40+1),1),(CHOOSE((基本入力!$I$30)+1,係数!$C19,係数!$D19,係数!$E19,係数!$F19,係数!$G19,係数!$H19,係数!$I9,係数!$J19,係数!$K19,係数!$L19,係数!$M19,係数!$N19,係数!$O19,係数!$P19,係数!$Q19,係数!$R19,係数!$S19,係数!$T19,係数!$U19,係数!$V19,係数!$W19,係数!$X19,係数!$Y19))*CHOOSE((基本入力!$C$7+1),(基本入力!$I$40+1),1)),0)</f>
        <v>0</v>
      </c>
      <c r="L24" s="970">
        <f>IF(基本入力!J30&gt;0,IF(基本入力!$I$41=0,CHOOSE((基本入力!$L$30)+1,係数!$C5,係数!$D5,係数!$E5,係数!$F5,係数!$G5,係数!$H5,係数!$I5,係数!$J5,係数!$K5,係数!$L5,係数!$M5,係数!$N5,係数!$O5,係数!$P5,係数!$Q5,係数!$R5,係数!$S5,係数!$T5,係数!$U5,係数!$V5,係数!$W5,係数!$X5,係数!$Y5)*CHOOSE((基本入力!$C$7+1),(基本入力!$I$40+1),1),(CHOOSE((基本入力!$L$30)+1,係数!$C19,係数!$D19,係数!$E19,係数!$F19,係数!$G19,係数!$H19,係数!$I9,係数!$J19,係数!$K19,係数!$L19,係数!$M19,係数!$N19,係数!$O19,係数!$P19,係数!$Q19,係数!$R19,係数!$S19,係数!$T19,係数!$U19,係数!$V19,係数!$W19,係数!$X19,係数!$Y19))*CHOOSE((基本入力!$C$7+1),(基本入力!$I$40+1),1)),0)</f>
        <v>0</v>
      </c>
      <c r="M24" s="970">
        <f>IF(基本入力!M30&gt;0,IF(基本入力!$I$41=0,CHOOSE((基本入力!$O$30)+1,係数!$C5,係数!$D5,係数!$E5,係数!$F5,係数!$G5,係数!$H5,係数!$I5,係数!$J5,係数!$K5,係数!$L5,係数!$M5,係数!$N5,係数!$O5,係数!$P5,係数!$Q5,係数!$R5,係数!$S5,係数!$T5,係数!$U5,係数!$V5,係数!$W5,係数!$X5,係数!$Y5)*CHOOSE((基本入力!$C$7+1),(基本入力!$I$40+1),1),(CHOOSE((基本入力!$O$30)+1,係数!$C19,係数!$D19,係数!$E19,係数!$F19,係数!$G19,係数!$H19,係数!$I9,係数!$J19,係数!$K19,係数!$L19,係数!$M19,係数!$N19,係数!$O19,係数!$P19,係数!$Q19,係数!$R19,係数!$S19,係数!$T19,係数!$U19,係数!$V19,係数!$W19,係数!$X19,係数!$Y19))*CHOOSE((基本入力!$C$7+1),(基本入力!$I$40+1),1)),0)</f>
        <v>0</v>
      </c>
      <c r="N24" s="970">
        <f>IF(基本入力!P30&gt;0,IF(基本入力!$I$41=0,CHOOSE((基本入力!$R$30)+1,係数!$C5,係数!$D5,係数!$E5,係数!$F5,係数!$G5,係数!$H5,係数!$I5,係数!$J5,係数!$K5,係数!$L5,係数!$M5,係数!$N5,係数!$O5,係数!$P5,係数!$Q5,係数!$R5,係数!$S5,係数!$T5,係数!$U5,係数!$V5,係数!$W5,係数!$X5,係数!$Y5)*CHOOSE((基本入力!$C$7+1),(基本入力!$I$40+1),1),(CHOOSE((基本入力!$R$30)+1,係数!$C19,係数!$D19,係数!$E19,係数!$F19,係数!$G19,係数!$H19,係数!$I9,係数!$J19,係数!$K19,係数!$L19,係数!$M19,係数!$N19,係数!$O19,係数!$P19,係数!$Q19,係数!$R19,係数!$S19,係数!$T19,係数!$U19,係数!$V19,係数!$W19,係数!$X19,係数!$Y19))*CHOOSE((基本入力!$C$7+1),(基本入力!$I$40+1),1)),0)</f>
        <v>0</v>
      </c>
      <c r="O24" s="970">
        <f>IF(基本入力!S30&gt;0,IF(基本入力!$I$41=0,CHOOSE((基本入力!$U$30)+1,係数!$C5,係数!$D5,係数!$E5,係数!$F5,係数!$G5,係数!$H5,係数!$I5,係数!$J5,係数!$K5,係数!$L5,係数!$M5,係数!$N5,係数!$O5,係数!$P5,係数!$Q5,係数!$R5,係数!$S5,係数!$T5,係数!$U5,係数!$V5,係数!$W5,係数!$X5,係数!$Y5)*CHOOSE((基本入力!$C$7+1),(基本入力!$I$40+1),1),(CHOOSE((基本入力!$U$30)+1,係数!$C19,係数!$D19,係数!$E19,係数!$F19,係数!$G19,係数!$H19,係数!$I9,係数!$J19,係数!$K19,係数!$L19,係数!$M19,係数!$N19,係数!$O19,係数!$P19,係数!$Q19,係数!$R19,係数!$S19,係数!$T19,係数!$U19,係数!$V19,係数!$W19,係数!$X19,係数!$Y19))*CHOOSE((基本入力!$C$7+1),(基本入力!$I$40+1),1)),0)</f>
        <v>0</v>
      </c>
      <c r="P24" s="970">
        <f>IF(基本入力!V30&gt;0,IF(基本入力!$I$41=0,CHOOSE((基本入力!$X$30)+1,係数!$C5,係数!$D5,係数!$E5,係数!$F5,係数!$G5,係数!$H5,係数!$I5,係数!$J5,係数!$K5,係数!$L5,係数!$M5,係数!$N5,係数!$O5,係数!$P5,係数!$Q5,係数!$R5,係数!$S5,係数!$T5,係数!$U5,係数!$V5,係数!$W5,係数!$X5,係数!$Y5)*CHOOSE((基本入力!$C$7+1),(基本入力!$I$40+1),1),(CHOOSE((基本入力!$X$30)+1,係数!$C19,係数!$D19,係数!$E19,係数!$F19,係数!$G19,係数!$H19,係数!$I9,係数!$J19,係数!$K19,係数!$L19,係数!$M19,係数!$N19,係数!$O19,係数!$P19,係数!$Q19,係数!$R19,係数!$S19,係数!$T19,係数!$U19,係数!$V19,係数!$W19,係数!$X19,係数!$Y19))*CHOOSE((基本入力!$C$7+1),(基本入力!$I$40+1),1)),0)</f>
        <v>0</v>
      </c>
      <c r="Q24" s="970">
        <f>IF(基本入力!Y30&gt;0,IF(基本入力!$I$41=0,CHOOSE((基本入力!$AA$30)+1,係数!$C5,係数!$D5,係数!$E5,係数!$F5,係数!$G5,係数!$H5,係数!$I5,係数!$J5,係数!$K5,係数!$L5,係数!$M5,係数!$N5,係数!$O5,係数!$P5,係数!$Q5,係数!$R5,係数!$S5,係数!$T5,係数!$U5,係数!$V5,係数!$W5,係数!$X5,係数!$Y5)*CHOOSE((基本入力!$C$7+1),(基本入力!$I$40+1),1),(CHOOSE((基本入力!$AA$30)+1,係数!$C19,係数!$D19,係数!$E19,係数!$F19,係数!$G19,係数!$H19,係数!$I9,係数!$J19,係数!$K19,係数!$L19,係数!$M19,係数!$N19,係数!$O19,係数!$P19,係数!$Q19,係数!$R19,係数!$S19,係数!$T19,係数!$U19,係数!$V19,係数!$W19,係数!$X19,係数!$Y19))*CHOOSE((基本入力!$C$7+1),(基本入力!$I$40+1),1)),0)</f>
        <v>0</v>
      </c>
      <c r="R24" s="970">
        <f>IF(基本入力!AB30&gt;0,IF(基本入力!$I$41=0,CHOOSE((基本入力!$AD$30)+1,係数!$C5,係数!$D5,係数!$E5,係数!$F5,係数!$G5,係数!$H5,係数!$I5,係数!$J5,係数!$K5,係数!$L5,係数!$M5,係数!$N5,係数!$O5,係数!$P5,係数!$Q5,係数!$R5,係数!$S5,係数!$T5,係数!$U5,係数!$V5,係数!$W5,係数!$X5,係数!$Y5)*CHOOSE((基本入力!$C$7+1),(基本入力!$I$40+1),1),(CHOOSE((基本入力!$AD$30)+1,係数!$C19,係数!$D19,係数!$E19,係数!$F19,係数!$G19,係数!$H19,係数!$I9,係数!$J19,係数!$K19,係数!$L19,係数!$M19,係数!$N19,係数!$O19,係数!$P19,係数!$Q19,係数!$R19,係数!$S19,係数!$T19,係数!$U19,係数!$V19,係数!$W19,係数!$X19,係数!$Y19))*CHOOSE((基本入力!$C$7+1),(基本入力!$I$40+1),1)),0)</f>
        <v>0</v>
      </c>
      <c r="S24" s="707">
        <f t="shared" ref="S24:S36" si="0">SUM(J24:R24)</f>
        <v>5030</v>
      </c>
      <c r="T24" s="708">
        <f>J24*($F24-基本入力!G30-基本入力!J30-基本入力!M30-基本入力!P30-基本入力!S30-基本入力!V30-基本入力!Y30-基本入力!AB30)</f>
        <v>1232350</v>
      </c>
      <c r="U24" s="708">
        <f>K24*基本入力!G30</f>
        <v>0</v>
      </c>
      <c r="V24" s="708">
        <f>L24*基本入力!J30</f>
        <v>0</v>
      </c>
      <c r="W24" s="708">
        <f>M24*基本入力!M30</f>
        <v>0</v>
      </c>
      <c r="X24" s="708">
        <f>N24*基本入力!P30</f>
        <v>0</v>
      </c>
      <c r="Y24" s="708">
        <f>O24*基本入力!S30</f>
        <v>0</v>
      </c>
      <c r="Z24" s="708">
        <f>P24*基本入力!V30</f>
        <v>0</v>
      </c>
      <c r="AA24" s="708">
        <f>Q24*基本入力!Y30</f>
        <v>0</v>
      </c>
      <c r="AB24" s="708">
        <f>R24*基本入力!AB30</f>
        <v>0</v>
      </c>
      <c r="AC24" s="862">
        <f t="shared" ref="AC24:AC33" si="1">SUM(T24:AB24)</f>
        <v>1232350</v>
      </c>
      <c r="AD24" s="949"/>
    </row>
    <row r="25" spans="1:33" ht="21" hidden="1" customHeight="1">
      <c r="A25" s="1900"/>
      <c r="B25" s="1914" t="s">
        <v>540</v>
      </c>
      <c r="C25" s="1915"/>
      <c r="D25" s="1916"/>
      <c r="E25" s="1305">
        <f>IF(AVERAGE(K25,L25,M25,N25,O25,P25,Q25,R25)=0,J25,IF(AND(基本入力!C31=0,AVERAGE(L25,M25,N25,O25,P25,Q25,R25)=0),K25,IF(AND(基本入力!C31=0,AVERAGE(K25,M25,N25,O25,P25,Q25,R25)=0),L25,IF(AND(基本入力!C31=0,AVERAGE(K25,L25,N25,O25,P25,Q25,R25)=0),M25,IF(AND(基本入力!C31=0,AVERAGE(K25,L25,M25,O25,P25,Q25,R25)=0),N25,IF(AND(基本入力!C31=0,AVERAGE(K25,L25,M25,N25,P25,Q25,R25)=0),O25,"   （混在）"))))))</f>
        <v>20780</v>
      </c>
      <c r="F25" s="1305">
        <f>IF(基本入力!C31=1,SUM(基本入力!C$13:C$16)+SUM(基本入力!C$56:C$57),0)</f>
        <v>245</v>
      </c>
      <c r="G25" s="1306">
        <f>AC25</f>
        <v>5091100</v>
      </c>
      <c r="H25" s="1307" t="s">
        <v>541</v>
      </c>
      <c r="I25" s="709"/>
      <c r="J25" s="707">
        <f>IF(基本入力!C31=1,IF(基本入力!$E$41=0,CHOOSE((基本入力!$E$30)+1,係数!$C6,係数!$D6,係数!$E6,係数!$F6,係数!$G6,係数!$H6,係数!$I6,係数!$J6,係数!$K6,係数!$L6,係数!$M6,係数!$N6,係数!$O6,係数!$P6,係数!$Q6,係数!$R6,係数!$S6,係数!$T6,係数!$U6,係数!$V6,係数!$W6,係数!$X6,係数!$Y6)*CHOOSE((基本入力!$C$7+1),(基本入力!$E$40+1),1),(CHOOSE((基本入力!$E$30)+1,係数!$C20,係数!$D20,係数!$E20,係数!$F20,係数!$G20,係数!$H20,係数!$I10,係数!$J20,係数!$K20,係数!$L20,係数!$M20,係数!$N20,係数!$O20,係数!$P20,係数!$Q20,係数!$R20,係数!$S20,係数!$T20,係数!$U20,係数!$V20,係数!$W20,係数!$X20,係数!$Y20))*CHOOSE((基本入力!$C$7+1),(基本入力!$E$40+1),1)),0)</f>
        <v>20780</v>
      </c>
      <c r="K25" s="970">
        <f>IF(基本入力!G31&gt;0,IF(基本入力!$I$41=0,CHOOSE((基本入力!$I$30)+1,係数!$C6,係数!$D6,係数!$E6,係数!$F6,係数!$G6,係数!$H6,係数!$I6,係数!$J6,係数!$K6,係数!$L6,係数!$M6,係数!$N6,係数!$O6,係数!$P6,係数!$Q6,係数!$R6,係数!$S6,係数!$T6,係数!$U6,係数!$V6,係数!$W6,係数!$X6,係数!$Y6)*CHOOSE((基本入力!$C$7+1),(基本入力!$I$40+1),1),(CHOOSE((基本入力!$I$30)+1,係数!$C20,係数!$D20,係数!$E20,係数!$F20,係数!$G20,係数!$H20,係数!$I10,係数!$J20,係数!$K20,係数!$L20,係数!$M20,係数!$N20,係数!$O20,係数!$P20,係数!$Q20,係数!$R20,係数!$S20,係数!$T20,係数!$U20,係数!$V20,係数!$W20,係数!$X20,係数!$Y20))*CHOOSE((基本入力!$C$7+1),(基本入力!$I$40+1),1)),0)</f>
        <v>0</v>
      </c>
      <c r="L25" s="970">
        <f>IF(基本入力!J31&gt;0,IF(基本入力!$I$41=0,CHOOSE((基本入力!$L$30)+1,係数!$C6,係数!$D6,係数!$E6,係数!$F6,係数!$G6,係数!$H6,係数!$I6,係数!$J6,係数!$K6,係数!$L6,係数!$M6,係数!$N6,係数!$O6,係数!$P6,係数!$Q6,係数!$R6,係数!$S6,係数!$T6,係数!$U6,係数!$V6,係数!$W6,係数!$X6,係数!$Y6)*CHOOSE((基本入力!$C$7+1),(基本入力!$I$40+1),1),(CHOOSE((基本入力!$L$30)+1,係数!$C20,係数!$D20,係数!$E20,係数!$F20,係数!$G20,係数!$H20,係数!$I10,係数!$J20,係数!$K20,係数!$L20,係数!$M20,係数!$N20,係数!$O20,係数!$P20,係数!$Q20,係数!$R20,係数!$S20,係数!$T20,係数!$U20,係数!$V20,係数!$W20,係数!$X20,係数!$Y20))*CHOOSE((基本入力!$C$7+1),(基本入力!$I$40+1),1)),0)</f>
        <v>0</v>
      </c>
      <c r="M25" s="970">
        <f>IF(基本入力!M31&gt;0,IF(基本入力!$I$41=0,CHOOSE((基本入力!$O$30)+1,係数!$C6,係数!$D6,係数!$E6,係数!$F6,係数!$G6,係数!$H6,係数!$I6,係数!$J6,係数!$K6,係数!$L6,係数!$M6,係数!$N6,係数!$O6,係数!$P6,係数!$Q6,係数!$R6,係数!$S6,係数!$T6,係数!$U6,係数!$V6,係数!$W6,係数!$X6,係数!$Y6)*CHOOSE((基本入力!$C$7+1),(基本入力!$I$40+1),1),(CHOOSE((基本入力!$O$30)+1,係数!$C20,係数!$D20,係数!$E20,係数!$F20,係数!$G20,係数!$H20,係数!$I10,係数!$J20,係数!$K20,係数!$L20,係数!$M20,係数!$N20,係数!$O20,係数!$P20,係数!$Q20,係数!$R20,係数!$S20,係数!$T20,係数!$U20,係数!$V20,係数!$W20,係数!$X20,係数!$Y20))*CHOOSE((基本入力!$C$7+1),(基本入力!$I$40+1),1)),0)</f>
        <v>0</v>
      </c>
      <c r="N25" s="970">
        <f>IF(基本入力!P31&gt;0,IF(基本入力!$I$41=0,CHOOSE((基本入力!$R$30)+1,係数!$C6,係数!$D6,係数!$E6,係数!$F6,係数!$G6,係数!$H6,係数!$I6,係数!$J6,係数!$K6,係数!$L6,係数!$M6,係数!$N6,係数!$O6,係数!$P6,係数!$Q6,係数!$R6,係数!$S6,係数!$T6,係数!$U6,係数!$V6,係数!$W6,係数!$X6,係数!$Y6)*CHOOSE((基本入力!$C$7+1),(基本入力!$I$40+1),1),(CHOOSE((基本入力!$R$30)+1,係数!$C20,係数!$D20,係数!$E20,係数!$F20,係数!$G20,係数!$H20,係数!$I10,係数!$J20,係数!$K20,係数!$L20,係数!$M20,係数!$N20,係数!$O20,係数!$P20,係数!$Q20,係数!$R20,係数!$S20,係数!$T20,係数!$U20,係数!$V20,係数!$W20,係数!$X20,係数!$Y20))*CHOOSE((基本入力!$C$7+1),(基本入力!$I$40+1),1)),0)</f>
        <v>0</v>
      </c>
      <c r="O25" s="970">
        <f>IF(基本入力!S31&gt;0,IF(基本入力!$I$41=0,CHOOSE((基本入力!$U$30)+1,係数!$C6,係数!$D6,係数!$E6,係数!$F6,係数!$G6,係数!$H6,係数!$I6,係数!$J6,係数!$K6,係数!$L6,係数!$M6,係数!$N6,係数!$O6,係数!$P6,係数!$Q6,係数!$R6,係数!$S6,係数!$T6,係数!$U6,係数!$V6,係数!$W6,係数!$X6,係数!$Y6)*CHOOSE((基本入力!$C$7+1),(基本入力!$I$40+1),1),(CHOOSE((基本入力!$U$30)+1,係数!$C20,係数!$D20,係数!$E20,係数!$F20,係数!$G20,係数!$H20,係数!$I10,係数!$J20,係数!$K20,係数!$L20,係数!$M20,係数!$N20,係数!$O20,係数!$P20,係数!$Q20,係数!$R20,係数!$S20,係数!$T20,係数!$U20,係数!$V20,係数!$W20,係数!$X20,係数!$Y20))*CHOOSE((基本入力!$C$7+1),(基本入力!$I$40+1),1)),0)</f>
        <v>0</v>
      </c>
      <c r="P25" s="970">
        <f>IF(基本入力!V31&gt;0,IF(基本入力!$I$41=0,CHOOSE((基本入力!$X$30)+1,係数!$C6,係数!$D6,係数!$E6,係数!$F6,係数!$G6,係数!$H6,係数!$I6,係数!$J6,係数!$K6,係数!$L6,係数!$M6,係数!$N6,係数!$O6,係数!$P6,係数!$Q6,係数!$R6,係数!$S6,係数!$T6,係数!$U6,係数!$V6,係数!$W6,係数!$X6,係数!$Y6)*CHOOSE((基本入力!$C$7+1),(基本入力!$I$40+1),1),(CHOOSE((基本入力!$X$30)+1,係数!$C20,係数!$D20,係数!$E20,係数!$F20,係数!$G20,係数!$H20,係数!$I10,係数!$J20,係数!$K20,係数!$L20,係数!$M20,係数!$N20,係数!$O20,係数!$P20,係数!$Q20,係数!$R20,係数!$S20,係数!$T20,係数!$U20,係数!$V20,係数!$W20,係数!$X20,係数!$Y20))*CHOOSE((基本入力!$C$7+1),(基本入力!$I$40+1),1)),0)</f>
        <v>0</v>
      </c>
      <c r="Q25" s="970">
        <f>IF(基本入力!Y31&gt;0,IF(基本入力!$I$41=0,CHOOSE((基本入力!$AA$30)+1,係数!$C6,係数!$D6,係数!$E6,係数!$F6,係数!$G6,係数!$H6,係数!$I6,係数!$J6,係数!$K6,係数!$L6,係数!$M6,係数!$N6,係数!$O6,係数!$P6,係数!$Q6,係数!$R6,係数!$S6,係数!$T6,係数!$U6,係数!$V6,係数!$W6,係数!$X6,係数!$Y6)*CHOOSE((基本入力!$C$7+1),(基本入力!$I$40+1),1),(CHOOSE((基本入力!$AA$30)+1,係数!$C20,係数!$D20,係数!$E20,係数!$F20,係数!$G20,係数!$H20,係数!$I10,係数!$J20,係数!$K20,係数!$L20,係数!$M20,係数!$N20,係数!$O20,係数!$P20,係数!$Q20,係数!$R20,係数!$S20,係数!$T20,係数!$U20,係数!$V20,係数!$W20,係数!$X20,係数!$Y20))*CHOOSE((基本入力!$C$7+1),(基本入力!$I$40+1),1)),0)</f>
        <v>0</v>
      </c>
      <c r="R25" s="970">
        <f>IF(基本入力!AB31&gt;0,IF(基本入力!$I$41=0,CHOOSE((基本入力!$AD$30)+1,係数!$C6,係数!$D6,係数!$E6,係数!$F6,係数!$G6,係数!$H6,係数!$I6,係数!$J6,係数!$K6,係数!$L6,係数!$M6,係数!$N6,係数!$O6,係数!$P6,係数!$Q6,係数!$R6,係数!$S6,係数!$T6,係数!$U6,係数!$V6,係数!$W6,係数!$X6,係数!$Y6)*CHOOSE((基本入力!$C$7+1),(基本入力!$I$40+1),1),(CHOOSE((基本入力!$AD$30)+1,係数!$C20,係数!$D20,係数!$E20,係数!$F20,係数!$G20,係数!$H20,係数!$I10,係数!$J20,係数!$K20,係数!$L20,係数!$M20,係数!$N20,係数!$O20,係数!$P20,係数!$Q20,係数!$R20,係数!$S20,係数!$T20,係数!$U20,係数!$V20,係数!$W20,係数!$X20,係数!$Y20))*CHOOSE((基本入力!$C$7+1),(基本入力!$I$40+1),1)),0)</f>
        <v>0</v>
      </c>
      <c r="S25" s="707">
        <f t="shared" ref="S25" si="2">SUM(J25:R25)</f>
        <v>20780</v>
      </c>
      <c r="T25" s="708">
        <f>J25*($F25-基本入力!G31-基本入力!J31-基本入力!M31-基本入力!P31-基本入力!S31-基本入力!V31-基本入力!Y31-基本入力!AB31)</f>
        <v>5091100</v>
      </c>
      <c r="U25" s="708">
        <f>K25*基本入力!G31</f>
        <v>0</v>
      </c>
      <c r="V25" s="708">
        <f>L25*基本入力!J31</f>
        <v>0</v>
      </c>
      <c r="W25" s="708">
        <f>M25*基本入力!M31</f>
        <v>0</v>
      </c>
      <c r="X25" s="708">
        <f>N25*基本入力!P31</f>
        <v>0</v>
      </c>
      <c r="Y25" s="708">
        <f>O25*基本入力!S31</f>
        <v>0</v>
      </c>
      <c r="Z25" s="708">
        <f>P25*基本入力!V31</f>
        <v>0</v>
      </c>
      <c r="AA25" s="708">
        <f>Q25*基本入力!Y31</f>
        <v>0</v>
      </c>
      <c r="AB25" s="708">
        <f>R25*基本入力!AB31</f>
        <v>0</v>
      </c>
      <c r="AC25" s="862">
        <f t="shared" ref="AC25" si="3">SUM(T25:AB25)</f>
        <v>5091100</v>
      </c>
      <c r="AD25" s="949"/>
    </row>
    <row r="26" spans="1:33" ht="21" customHeight="1">
      <c r="A26" s="1900"/>
      <c r="B26" s="1914" t="s">
        <v>674</v>
      </c>
      <c r="C26" s="1915"/>
      <c r="D26" s="1916"/>
      <c r="E26" s="1305">
        <f>IF(AVERAGE(K26,L26,M26,N26,O26,P26,Q26,R26)=0,J26,IF(AND(基本入力!C32=0,AVERAGE(L26,M26,N26,O26,P26,Q26,R26)=0),K26,IF(AND(基本入力!C32=0,AVERAGE(K26,M26,N26,O26,P26,Q26,R26)=0),L26,IF(AND(基本入力!C32=0,AVERAGE(K26,L26,N26,O26,P26,Q26,R26)=0),M26,IF(AND(基本入力!C32=0,AVERAGE(K26,L26,M26,O26,P26,Q26,R26)=0),N26,IF(AND(基本入力!C32=0,AVERAGE(K26,L26,M26,N26,P26,Q26,R26)=0),O26,"   （混在）"))))))</f>
        <v>10660</v>
      </c>
      <c r="F26" s="1305">
        <f>IF(基本入力!C32=1,SUM(基本入力!C$13:C$16)+SUM(基本入力!C$56:C$57),0)</f>
        <v>245</v>
      </c>
      <c r="G26" s="1308" t="str">
        <f>IF(AC26-AC52-AC53=0,"-      ",AC26-AC52-AC53)</f>
        <v xml:space="preserve">-      </v>
      </c>
      <c r="H26" s="1309">
        <f>AC52+AC53</f>
        <v>2611700</v>
      </c>
      <c r="I26" s="950"/>
      <c r="J26" s="707">
        <f>IF(基本入力!C32=1,IF(基本入力!$E41=0,CHOOSE((基本入力!$E$32)+1,係数!$C7,係数!$D7,係数!$E7,係数!$F7,係数!$G7,係数!$H7,係数!$I7,係数!$J7,係数!$K7,係数!$L7,係数!$M7,係数!$N7,係数!$O7,係数!$P7,係数!$Q7,係数!$R7,係数!$S7,係数!$T7,係数!$U7,係数!$V7,係数!$W7,係数!$X7,係数!$Y7)*CHOOSE((基本入力!$C$7)+1,(基本入力!$E$40+1),1),(CHOOSE((基本入力!$E$32)+1,係数!$C20,係数!$D20,係数!$E20,係数!$F20,係数!$G20,係数!$H20,係数!$I10,係数!$J20,係数!$K20,係数!$L20,係数!$M20,係数!$N20,係数!$O20,係数!$P20,係数!$Q20,係数!$R20,係数!$S20,係数!$T20,係数!$U20,係数!$V20,係数!$W20,係数!$X20,係数!$Y20))*CHOOSE((基本入力!$C$7)+1,(基本入力!$E$40+1),1)),0)</f>
        <v>10660</v>
      </c>
      <c r="K26" s="707">
        <f>IF(基本入力!G32&gt;0,IF(基本入力!$I$41=0,CHOOSE((基本入力!$I$32)+1,係数!$C7,係数!$D7,係数!$E7,係数!$F7,係数!$G7,係数!$H7,係数!$I7,係数!$J7,係数!$K7,係数!$L7,係数!$M7,係数!$N7,係数!$O7,係数!$P7,係数!$Q7,係数!$R7,係数!$S7,係数!$T7,係数!$U7,係数!$V7,係数!$W7,係数!$X7,係数!$Y7)*CHOOSE((基本入力!$C$7+1),(基本入力!$I$40+1),1),(CHOOSE((基本入力!$I$32)+1,係数!$C20,係数!$D20,係数!$E20,係数!$F20,係数!$G20,係数!$H20,係数!$I10,係数!$J20,係数!$K20,係数!$L20,係数!$M20,係数!$N20,係数!$O20,係数!$P20,係数!$Q20,係数!$R20,係数!$S20,係数!$T20,係数!$U20,係数!$V20,係数!$W20,係数!$X20,係数!$Y20))*CHOOSE((基本入力!$C$7+1),(基本入力!$I$40+1),1)),0)</f>
        <v>0</v>
      </c>
      <c r="L26" s="707">
        <f>IF(基本入力!J32&gt;0,IF(基本入力!$I$41=0,CHOOSE((基本入力!$L$32)+1,係数!$C7,係数!$D7,係数!$E7,係数!$F7,係数!$G7,係数!$H7,係数!$I7,係数!$J7,係数!$K7,係数!$L7,係数!$M7,係数!$N7,係数!$O7,係数!$P7,係数!$Q7,係数!$R7,係数!$S7,係数!$T7,係数!$U7,係数!$V7,係数!$W7,係数!$X7,係数!$Y7)*CHOOSE((基本入力!$C$7+1),(基本入力!$I$40+1),1),(CHOOSE((基本入力!$L$32)+1,係数!$C20,係数!$D20,係数!$E20,係数!$F20,係数!$G20,係数!$H20,係数!$I10,係数!$J20,係数!$K20,係数!$L20,係数!$M20,係数!$N20,係数!$O20,係数!$P20,係数!$Q20,係数!$R20,係数!$S20,係数!$T20,係数!$U20,係数!$V20,係数!$W20,係数!$X20,係数!$Y20))*CHOOSE((基本入力!$C$7+1),(基本入力!$I$40+1),1)),0)</f>
        <v>0</v>
      </c>
      <c r="M26" s="707">
        <f>IF(基本入力!M32&gt;0,IF(基本入力!$I$41=0,CHOOSE((基本入力!$O$32)+1,係数!$C7,係数!$D7,係数!$E7,係数!$F7,係数!$G7,係数!$H7,係数!$I7,係数!$J7,係数!$K7,係数!$L7,係数!$M7,係数!$N7,係数!$O7,係数!$P7,係数!$Q7,係数!$R7,係数!$S7,係数!$T7,係数!$U7,係数!$V7,係数!$W7,係数!$X7,係数!$Y7)*CHOOSE((基本入力!$C$7+1),(基本入力!$I$40+1),1),(CHOOSE((基本入力!$O$32)+1,係数!$C20,係数!$D20,係数!$E20,係数!$F20,係数!$G20,係数!$H20,係数!$I10,係数!$J20,係数!$K20,係数!$L20,係数!$M20,係数!$N20,係数!$O20,係数!$P20,係数!$Q20,係数!$R20,係数!$S20,係数!$T20,係数!$U20,係数!$V20,係数!$W20,係数!$X20,係数!$Y20))*CHOOSE((基本入力!$C$7+1),(基本入力!$I$40+1),1)),0)</f>
        <v>0</v>
      </c>
      <c r="N26" s="707">
        <f>IF(基本入力!P32&gt;0,IF(基本入力!$I$41=0,CHOOSE((基本入力!$R$32)+1,係数!$C7,係数!$D7,係数!$E7,係数!$F7,係数!$G7,係数!$H7,係数!$I7,係数!$J7,係数!$K7,係数!$L7,係数!$M7,係数!$N7,係数!$O7,係数!$P7,係数!$Q7,係数!$R7,係数!$S7,係数!$T7,係数!$U7,係数!$V7,係数!$W7,係数!$X7,係数!$Y7)*CHOOSE((基本入力!$C$7+1),(基本入力!$I$40+1),1),(CHOOSE((基本入力!$R$32)+1,係数!$C20,係数!$D20,係数!$E20,係数!$F20,係数!$G20,係数!$H20,係数!$I10,係数!$J20,係数!$K20,係数!$L20,係数!$M20,係数!$N20,係数!$O20,係数!$P20,係数!$Q20,係数!$R20,係数!$S20,係数!$T20,係数!$U20,係数!$V20,係数!$W20,係数!$X20,係数!$Y20))*CHOOSE((基本入力!$C$7+1),(基本入力!$I$40+1),1)),0)</f>
        <v>0</v>
      </c>
      <c r="O26" s="707">
        <f>IF(基本入力!S32&gt;0,IF(基本入力!$I$41=0,CHOOSE((基本入力!$U$32)+1,係数!$C7,係数!$D7,係数!$E7,係数!$F7,係数!$G7,係数!$H7,係数!$I7,係数!$J7,係数!$K7,係数!$L7,係数!$M7,係数!$N7,係数!$O7,係数!$P7,係数!$Q7,係数!$R7,係数!$S7,係数!$T7,係数!$U7,係数!$V7,係数!$W7,係数!$X7,係数!$Y7)*CHOOSE((基本入力!$C$7+1),(基本入力!$I$40+1),1),(CHOOSE((基本入力!$U$32)+1,係数!$C20,係数!$D20,係数!$E20,係数!$F20,係数!$G20,係数!$H20,係数!$I10,係数!$J20,係数!$K20,係数!$L20,係数!$M20,係数!$N20,係数!$O20,係数!$P20,係数!$Q20,係数!$R20,係数!$S20,係数!$T20,係数!$U20,係数!$V20,係数!$W20,係数!$X20,係数!$Y20))*CHOOSE((基本入力!$C$7+1),(基本入力!$I$40+1),1)),0)</f>
        <v>0</v>
      </c>
      <c r="P26" s="707">
        <f>IF(基本入力!V32&gt;0,IF(基本入力!$I$41=0,CHOOSE((基本入力!$X$32)+1,係数!$C7,係数!$D7,係数!$E7,係数!$F7,係数!$G7,係数!$H7,係数!$I7,係数!$J7,係数!$K7,係数!$L7,係数!$M7,係数!$N7,係数!$O7,係数!$P7,係数!$Q7,係数!$R7,係数!$S7,係数!$T7,係数!$U7,係数!$V7,係数!$W7,係数!$X7,係数!$Y7)*CHOOSE((基本入力!$C$7+1),(基本入力!$I$40+1),1),(CHOOSE((基本入力!$X$32)+1,係数!$C20,係数!$D20,係数!$E20,係数!$F20,係数!$G20,係数!$H20,係数!$I10,係数!$J20,係数!$K20,係数!$L20,係数!$M20,係数!$N20,係数!$O20,係数!$P20,係数!$Q20,係数!$R20,係数!$S20,係数!$T20,係数!$U20,係数!$V20,係数!$W20,係数!$X20,係数!$Y20))*CHOOSE((基本入力!$C$7+1),(基本入力!$I$40+1),1)),0)</f>
        <v>0</v>
      </c>
      <c r="Q26" s="707">
        <f>IF(基本入力!Y32&gt;0,IF(基本入力!$I$41=0,CHOOSE((基本入力!$AA$32)+1,係数!$C7,係数!$D7,係数!$E7,係数!$F7,係数!$G7,係数!$H7,係数!$I7,係数!$J7,係数!$K7,係数!$L7,係数!$M7,係数!$N7,係数!$O7,係数!$P7,係数!$Q7,係数!$R7,係数!$S7,係数!$T7,係数!$U7,係数!$V7,係数!$W7,係数!$X7,係数!$Y7)*CHOOSE((基本入力!$C$7+1),(基本入力!$I$40+1),1),(CHOOSE((基本入力!$AA$32)+1,係数!$C20,係数!$D20,係数!$E20,係数!$F20,係数!$G20,係数!$H20,係数!$I10,係数!$J20,係数!$K20,係数!$L20,係数!$M20,係数!$N20,係数!$O20,係数!$P20,係数!$Q20,係数!$R20,係数!$S20,係数!$T20,係数!$U20,係数!$V20,係数!$W20,係数!$X20,係数!$Y20))*CHOOSE((基本入力!$C$7+1),(基本入力!$I$40+1),1)),0)</f>
        <v>0</v>
      </c>
      <c r="R26" s="707">
        <f>IF(基本入力!AB32&gt;0,IF(基本入力!$I$41=0,CHOOSE((基本入力!$AD$32)+1,係数!$C7,係数!$D7,係数!$E7,係数!$F7,係数!$G7,係数!$H7,係数!$I7,係数!$J7,係数!$K7,係数!$L7,係数!$M7,係数!$N7,係数!$O7,係数!$P7,係数!$Q7,係数!$R7,係数!$S7,係数!$T7,係数!$U7,係数!$V7,係数!$W7,係数!$X7,係数!$Y7)*CHOOSE((基本入力!$C$7+1),(基本入力!$I$40+1),1),(CHOOSE((基本入力!$AD$32)+1,係数!$C20,係数!$D20,係数!$E20,係数!$F20,係数!$G20,係数!$H20,係数!$I10,係数!$J20,係数!$K20,係数!$L20,係数!$M20,係数!$N20,係数!$O20,係数!$P20,係数!$Q20,係数!$R20,係数!$S20,係数!$T20,係数!$U20,係数!$V20,係数!$W20,係数!$X20,係数!$Y20))*CHOOSE((基本入力!$C$7+1),(基本入力!$I$40+1),1)),0)</f>
        <v>0</v>
      </c>
      <c r="S26" s="707">
        <f t="shared" si="0"/>
        <v>10660</v>
      </c>
      <c r="T26" s="708">
        <f>J26*($F26-基本入力!G32-基本入力!J32-基本入力!M32-基本入力!P32-基本入力!S32-基本入力!V32-基本入力!Y32-基本入力!AB32)</f>
        <v>2611700</v>
      </c>
      <c r="U26" s="708">
        <f>K26*基本入力!G32</f>
        <v>0</v>
      </c>
      <c r="V26" s="708">
        <f>L26*基本入力!J32</f>
        <v>0</v>
      </c>
      <c r="W26" s="708">
        <f>M26*基本入力!M32</f>
        <v>0</v>
      </c>
      <c r="X26" s="708">
        <f>N26*基本入力!P32</f>
        <v>0</v>
      </c>
      <c r="Y26" s="708">
        <f>O26*基本入力!S32</f>
        <v>0</v>
      </c>
      <c r="Z26" s="708">
        <f>P26*基本入力!V32</f>
        <v>0</v>
      </c>
      <c r="AA26" s="708">
        <f>Q26*基本入力!Y32</f>
        <v>0</v>
      </c>
      <c r="AB26" s="708">
        <f>R26*基本入力!AB32</f>
        <v>0</v>
      </c>
      <c r="AC26" s="862">
        <f>SUM(T26:AB26)</f>
        <v>2611700</v>
      </c>
      <c r="AD26" s="949"/>
    </row>
    <row r="27" spans="1:33" ht="21" customHeight="1">
      <c r="A27" s="1900"/>
      <c r="B27" s="1917" t="s">
        <v>675</v>
      </c>
      <c r="C27" s="1918"/>
      <c r="D27" s="1919"/>
      <c r="E27" s="1305">
        <f>IF(AVERAGE(K27,L27,M27,N27,O27,P27,Q27,R27)=0,J27,IF(AND(基本入力!C33=0,AVERAGE(L27,M27,N27,O27,P27,Q27,R27)=0),K27,IF(AND(基本入力!C33=0,AVERAGE(K27,M27,N27,O27,P27,Q27,R27)=0),L27,IF(AND(基本入力!C33=0,AVERAGE(K27,L27,N27,O27,P27,Q27,R27)=0),M27,IF(AND(基本入力!C33=0,AVERAGE(K27,L27,M27,O27,P27,Q27,R27)=0),N27,IF(AND(基本入力!C33=0,AVERAGE(K27,L27,M27,N27,P27,Q27,R27)=0),O27,"   （混在）"))))))</f>
        <v>3010</v>
      </c>
      <c r="F27" s="1305">
        <f>IF(基本入力!C33=1,SUM(基本入力!C$13:C$16)+SUM(基本入力!C$56:C$57),0)</f>
        <v>245</v>
      </c>
      <c r="G27" s="1310">
        <f>AC27</f>
        <v>737450</v>
      </c>
      <c r="H27" s="1307" t="s">
        <v>650</v>
      </c>
      <c r="I27" s="1311"/>
      <c r="J27" s="707">
        <f>IF(基本入力!C33=1,IF(基本入力!$E41=0,CHOOSE((基本入力!$E$33)+1,係数!$C8,係数!$D8,係数!$E8,係数!$F8,係数!$G8,係数!$H8,係数!$I8,係数!$J8,係数!$K8,係数!$L8,係数!$M8,係数!$N8,係数!$O8,係数!$P8,係数!$Q8,係数!$R8,係数!$S8,係数!$T8,係数!$U8,係数!$V8,係数!$W8,係数!$X8,係数!$Y8)*CHOOSE((基本入力!$C$7)+1,(基本入力!$E$40+1),1),(CHOOSE((基本入力!$E$33)+1,係数!$C21,係数!$D21,係数!$E21,係数!$F21,係数!$G21,係数!$H21,係数!$I11,係数!$J21,係数!$K21,係数!$L21,係数!$M21,係数!$N21,係数!$O21,係数!$P21,係数!$Q21,係数!$R21,係数!$S21,係数!$T21,係数!$U21,係数!$V21,係数!$W21,係数!$X21,係数!$Y21))*CHOOSE((基本入力!$C$7)+1,(基本入力!$E$40+1),1)),0)</f>
        <v>3010</v>
      </c>
      <c r="K27" s="707">
        <f>IF(基本入力!G33&gt;0,IF(基本入力!$I$41=0,CHOOSE((基本入力!$I$33)+1,係数!$C8,係数!$D8,係数!$E8,係数!$F8,係数!$G8,係数!$H8,係数!$I8,係数!$J8,係数!$K8,係数!$L8,係数!$M8,係数!$N8,係数!$O8,係数!$P8,係数!$Q8,係数!$R8,係数!$S8,係数!$T8,係数!$U8,係数!$V8,係数!$W8,係数!$X8,係数!$Y8)*CHOOSE((基本入力!$C$7+1),(基本入力!$I$40+1),1),(CHOOSE((基本入力!$I$33)+1,係数!$C21,係数!$D21,係数!$E21,係数!$F21,係数!$G21,係数!$H21,係数!$I11,係数!$J21,係数!$K21,係数!$L21,係数!$M21,係数!$N21,係数!$O21,係数!$P21,係数!$Q21,係数!$R21,係数!$S21,係数!$T21,係数!$U21,係数!$V21,係数!$W21,係数!$X21,係数!$Y21))*CHOOSE((基本入力!$C$7)+1,(基本入力!$I$40+1),1)),0)</f>
        <v>0</v>
      </c>
      <c r="L27" s="707">
        <f>IF(基本入力!J33&gt;0,IF(基本入力!$I$41=0,CHOOSE((基本入力!$L$33)+1,係数!$C8,係数!$D8,係数!$E8,係数!$F8,係数!$G8,係数!$H8,係数!$I8,係数!$J8,係数!$K8,係数!$L8,係数!$M8,係数!$N8,係数!$O8,係数!$P8,係数!$Q8,係数!$R8,係数!$S8,係数!$T8,係数!$U8,係数!$V8,係数!$W8,係数!$X8,係数!$Y8)*CHOOSE((基本入力!$C$7+1),(基本入力!$I$40+1),1),(CHOOSE((基本入力!$L$33)+1,係数!$C21,係数!$D21,係数!$E21,係数!$F21,係数!$G21,係数!$H21,係数!$I11,係数!$J21,係数!$K21,係数!$L21,係数!$M21,係数!$N21,係数!$O21,係数!$P21,係数!$Q21,係数!$R21,係数!$S21,係数!$T21,係数!$U21,係数!$V21,係数!$W21,係数!$X21,係数!$Y21))*CHOOSE((基本入力!$C$7)+1,(基本入力!$I$40+1),1)),0)</f>
        <v>0</v>
      </c>
      <c r="M27" s="707">
        <f>IF(基本入力!M33&gt;0,IF(基本入力!$I$41=0,CHOOSE((基本入力!$O$33)+1,係数!$C8,係数!$D8,係数!$E8,係数!$F8,係数!$G8,係数!$H8,係数!$I8,係数!$J8,係数!$K8,係数!$L8,係数!$M8,係数!$N8,係数!$O8,係数!$P8,係数!$Q8,係数!$R8,係数!$S8,係数!$T8,係数!$U8,係数!$V8,係数!$W8,係数!$X8,係数!$Y8)*CHOOSE((基本入力!$C$7+1),(基本入力!$I$40+1),1),(CHOOSE((基本入力!$O$33)+1,係数!$C21,係数!$D21,係数!$E21,係数!$F21,係数!$G21,係数!$H21,係数!$I11,係数!$J21,係数!$K21,係数!$L21,係数!$M21,係数!$N21,係数!$O21,係数!$P21,係数!$Q21,係数!$R21,係数!$S21,係数!$T21,係数!$U21,係数!$V21,係数!$W21,係数!$X21,係数!$Y21))*CHOOSE((基本入力!$C$7)+1,(基本入力!$I$40+1),1)),0)</f>
        <v>0</v>
      </c>
      <c r="N27" s="707">
        <f>IF(基本入力!P33&gt;0,IF(基本入力!$I$41=0,CHOOSE((基本入力!$R$33)+1,係数!$C8,係数!$D8,係数!$E8,係数!$F8,係数!$G8,係数!$H8,係数!$I8,係数!$J8,係数!$K8,係数!$L8,係数!$M8,係数!$N8,係数!$O8,係数!$P8,係数!$Q8,係数!$R8,係数!$S8,係数!$T8,係数!$U8,係数!$V8,係数!$W8,係数!$X8,係数!$Y8)*CHOOSE((基本入力!$C$7+1),(基本入力!$I$40+1),1),(CHOOSE((基本入力!$R$33)+1,係数!$C21,係数!$D21,係数!$E21,係数!$F21,係数!$G21,係数!$H21,係数!$I11,係数!$J21,係数!$K21,係数!$L21,係数!$M21,係数!$N21,係数!$O21,係数!$P21,係数!$Q21,係数!$R21,係数!$S21,係数!$T21,係数!$U21,係数!$V21,係数!$W21,係数!$X21,係数!$Y21))*CHOOSE((基本入力!$C$7)+1,(基本入力!$I$40+1),1)),0)</f>
        <v>0</v>
      </c>
      <c r="O27" s="707">
        <f>IF(基本入力!S33&gt;0,IF(基本入力!$I$41=0,CHOOSE((基本入力!$U$33)+1,係数!$C8,係数!$D8,係数!$E8,係数!$F8,係数!$G8,係数!$H8,係数!$I8,係数!$J8,係数!$K8,係数!$L8,係数!$M8,係数!$N8,係数!$O8,係数!$P8,係数!$Q8,係数!$R8,係数!$S8,係数!$T8,係数!$U8,係数!$V8,係数!$W8,係数!$X8,係数!$Y8)*CHOOSE((基本入力!$C$7+1),(基本入力!$I$40+1),1),(CHOOSE((基本入力!$U$33)+1,係数!$C21,係数!$D21,係数!$E21,係数!$F21,係数!$G21,係数!$H21,係数!$I11,係数!$J21,係数!$K21,係数!$L21,係数!$M21,係数!$N21,係数!$O21,係数!$P21,係数!$Q21,係数!$R21,係数!$S21,係数!$T21,係数!$U21,係数!$V21,係数!$W21,係数!$X21,係数!$Y21))*CHOOSE((基本入力!$C$7)+1,(基本入力!$I$40+1),1)),0)</f>
        <v>0</v>
      </c>
      <c r="P27" s="707">
        <f>IF(基本入力!V33&gt;0,IF(基本入力!$I$41=0,CHOOSE((基本入力!$X$33)+1,係数!$C8,係数!$D8,係数!$E8,係数!$F8,係数!$G8,係数!$H8,係数!$I8,係数!$J8,係数!$K8,係数!$L8,係数!$M8,係数!$N8,係数!$O8,係数!$P8,係数!$Q8,係数!$R8,係数!$S8,係数!$T8,係数!$U8,係数!$V8,係数!$W8,係数!$X8,係数!$Y8)*CHOOSE((基本入力!$C$7+1),(基本入力!$I$40+1),1),(CHOOSE((基本入力!$X$33)+1,係数!$C21,係数!$D21,係数!$E21,係数!$F21,係数!$G21,係数!$H21,係数!$I11,係数!$J21,係数!$K21,係数!$L21,係数!$M21,係数!$N21,係数!$O21,係数!$P21,係数!$Q21,係数!$R21,係数!$S21,係数!$T21,係数!$U21,係数!$V21,係数!$W21,係数!$X21,係数!$Y21))*CHOOSE((基本入力!$C$7)+1,(基本入力!$I$40+1),1)),0)</f>
        <v>0</v>
      </c>
      <c r="Q27" s="707">
        <f>IF(基本入力!Y33&gt;0,IF(基本入力!$I$41=0,CHOOSE((基本入力!$AA$33)+1,係数!$C8,係数!$D8,係数!$E8,係数!$F8,係数!$G8,係数!$H8,係数!$I8,係数!$J8,係数!$K8,係数!$L8,係数!$M8,係数!$N8,係数!$O8,係数!$P8,係数!$Q8,係数!$R8,係数!$S8,係数!$T8,係数!$U8,係数!$V8,係数!$W8,係数!$X8,係数!$Y8)*CHOOSE((基本入力!$C$7+1),(基本入力!$I$40+1),1),(CHOOSE((基本入力!$AA$33)+1,係数!$C21,係数!$D21,係数!$E21,係数!$F21,係数!$G21,係数!$H21,係数!$I11,係数!$J21,係数!$K21,係数!$L21,係数!$M21,係数!$N21,係数!$O21,係数!$P21,係数!$Q21,係数!$R21,係数!$S21,係数!$T21,係数!$U21,係数!$V21,係数!$W21,係数!$X21,係数!$Y21))*CHOOSE((基本入力!$C$7)+1,(基本入力!$I$40+1),1)),0)</f>
        <v>0</v>
      </c>
      <c r="R27" s="707">
        <f>IF(基本入力!AB33&gt;0,IF(基本入力!$I$41=0,CHOOSE((基本入力!$AD$33)+1,係数!$C8,係数!$D8,係数!$E8,係数!$F8,係数!$G8,係数!$H8,係数!$I8,係数!$J8,係数!$K8,係数!$L8,係数!$M8,係数!$N8,係数!$O8,係数!$P8,係数!$Q8,係数!$R8,係数!$S8,係数!$T8,係数!$U8,係数!$V8,係数!$W8,係数!$X8,係数!$Y8)*CHOOSE((基本入力!$C$7+1),(基本入力!$I$40+1),1),(CHOOSE((基本入力!$AD$33)+1,係数!$C21,係数!$D21,係数!$E21,係数!$F21,係数!$G21,係数!$H21,係数!$I11,係数!$J21,係数!$K21,係数!$L21,係数!$M21,係数!$N21,係数!$O21,係数!$P21,係数!$Q21,係数!$R21,係数!$S21,係数!$T21,係数!$U21,係数!$V21,係数!$W21,係数!$X21,係数!$Y21))*CHOOSE((基本入力!$C$7)+1,(基本入力!$I$40+1),1)),0)</f>
        <v>0</v>
      </c>
      <c r="S27" s="707">
        <f t="shared" si="0"/>
        <v>3010</v>
      </c>
      <c r="T27" s="708">
        <f>J27*($F27-基本入力!G33-基本入力!J33-基本入力!M33-基本入力!P33-基本入力!S33-基本入力!V33-基本入力!Y33-基本入力!AB33)</f>
        <v>737450</v>
      </c>
      <c r="U27" s="708">
        <f>K27*基本入力!G33</f>
        <v>0</v>
      </c>
      <c r="V27" s="708">
        <f>L27*基本入力!J33</f>
        <v>0</v>
      </c>
      <c r="W27" s="708">
        <f>M27*基本入力!M33</f>
        <v>0</v>
      </c>
      <c r="X27" s="708">
        <f>N27*基本入力!P33</f>
        <v>0</v>
      </c>
      <c r="Y27" s="708">
        <f>O27*基本入力!S33</f>
        <v>0</v>
      </c>
      <c r="Z27" s="708">
        <f>P27*基本入力!V33</f>
        <v>0</v>
      </c>
      <c r="AA27" s="708">
        <f>Q27*基本入力!Y33</f>
        <v>0</v>
      </c>
      <c r="AB27" s="708">
        <f>R27*基本入力!AB33</f>
        <v>0</v>
      </c>
      <c r="AC27" s="862">
        <f t="shared" si="1"/>
        <v>737450</v>
      </c>
      <c r="AD27" s="949"/>
    </row>
    <row r="28" spans="1:33" ht="21" customHeight="1">
      <c r="A28" s="1900"/>
      <c r="B28" s="1944" t="s">
        <v>651</v>
      </c>
      <c r="C28" s="1907" t="s">
        <v>660</v>
      </c>
      <c r="D28" s="1312" t="s">
        <v>535</v>
      </c>
      <c r="E28" s="1305">
        <f>IF(AND(COUNT(基本入力!C56,基本入力!G56,基本入力!J56,基本入力!M56,基本入力!P56,基本入力!S56,基本入力!V56,基本入力!Y56,基本入力!AB56)=1,S38=0),S36,IF(AND(COUNT(基本入力!C56,基本入力!G56,基本入力!J56,基本入力!M56,基本入力!P56,基本入力!S56,基本入力!V56,基本入力!Y56,基本入力!AB56)=1,S36=0),S38,IF(AND(S36=0,S38=0),0,"   （混在）")))</f>
        <v>0</v>
      </c>
      <c r="F28" s="1313">
        <f>基本入力!C56</f>
        <v>0</v>
      </c>
      <c r="G28" s="1310" t="str">
        <f>IF(AC36+AC38-(AC49+AC47)=0,"-      ",AC36+AC38-(AC49+AC47))</f>
        <v xml:space="preserve">-      </v>
      </c>
      <c r="H28" s="706">
        <f>AC49+AC47</f>
        <v>0</v>
      </c>
      <c r="I28" s="950" t="s">
        <v>559</v>
      </c>
      <c r="J28" s="707">
        <f>IF(AND(基本入力!$C$34=1,基本入力!$C$13&gt;0),CHOOSE((基本入力!$E$13)+1,係数!$C$9,係数!$D$9,係数!$E$9,係数!$F$9,係数!$G$9,係数!$H$9,係数!$I$9,係数!$J$9,係数!$K$9,係数!$L$9,係数!$M$9,係数!$N$9,係数!$O$9,係数!$P$9,係数!$Q$9,係数!$R$9,係数!$S$9,係数!$T$9,係数!$U$9,係数!$V$9,係数!$W$9,係数!$X$9,係数!$Y$9),0)*CHOOSE((基本入力!$C$7+1),(基本入力!$E$40+1),1)</f>
        <v>0</v>
      </c>
      <c r="K28" s="970">
        <f>IF(基本入力!G13&gt;0,CHOOSE((基本入力!$I13)+1,係数!$C9,係数!$D9,係数!$E9,係数!$F9,係数!$G9,係数!$H9,係数!$I9,係数!$J9,係数!$K9,係数!$L9,係数!$M9,係数!$N9,係数!$O9,係数!$P9,係数!$Q9,係数!$R9,係数!$S9,係数!$T9,係数!$U9,係数!$V9,係数!$W9,係数!$X9,係数!$Y9),0)*CHOOSE((基本入力!$C$7)+1,(基本入力!$I$40+1),1)</f>
        <v>0</v>
      </c>
      <c r="L28" s="970">
        <f>IF(基本入力!J13&gt;0,CHOOSE((基本入力!$L13)+1,係数!$C9,係数!$D9,係数!$E9,係数!$F9,係数!$G9,係数!$H9,係数!$I9,係数!$J9,係数!$K9,係数!$L9,係数!$M9,係数!$N9,係数!$O9,係数!$P9,係数!$Q9,係数!$R9,係数!$S9,係数!$T9,係数!$U9,係数!$V9,係数!$W9,係数!$X9,係数!$Y9),0)*CHOOSE((基本入力!$C$7)+1,(基本入力!$I$40+1),1)</f>
        <v>0</v>
      </c>
      <c r="M28" s="970">
        <f>IF(基本入力!M13&gt;0,CHOOSE((基本入力!$O13)+1,係数!$C9,係数!$D9,係数!$E9,係数!$F9,係数!$G9,係数!$H9,係数!$I9,係数!$J9,係数!$K9,係数!$L9,係数!$M9,係数!$N9,係数!$O9,係数!$P9,係数!$Q9,係数!$R9,係数!$S9,係数!$T9,係数!$U9,係数!$V9,係数!$W9,係数!$X9,係数!$Y9),0)*CHOOSE((基本入力!$C$7)+1,(基本入力!$I$40+1),1)</f>
        <v>0</v>
      </c>
      <c r="N28" s="970">
        <f>IF(基本入力!P13&gt;0,CHOOSE((基本入力!$R13)+1,係数!$C9,係数!$D9,係数!$E9,係数!$F9,係数!$G9,係数!$H9,係数!$I9,係数!$J9,係数!$K9,係数!$L9,係数!$M9,係数!$N9,係数!$O9,係数!$P9,係数!$Q9,係数!$R9,係数!$S9,係数!$T9,係数!$U9,係数!$V9,係数!$W9,係数!$X9,係数!$Y9),0)*CHOOSE((基本入力!$C$7)+1,(基本入力!$I$40+1),1)</f>
        <v>0</v>
      </c>
      <c r="O28" s="970">
        <f>IF(基本入力!S13&gt;0,CHOOSE((基本入力!$U13)+1,係数!$C9,係数!$D9,係数!$E9,係数!$F9,係数!$G9,係数!$H9,係数!$I9,係数!$J9,係数!$K9,係数!$L9,係数!$M9,係数!$N9,係数!$O9,係数!$P9,係数!$Q9,係数!$R9,係数!$S9,係数!$T9,係数!$U9,係数!$V9,係数!$W9,係数!$X9,係数!$Y9),0)*CHOOSE((基本入力!$C$7)+1,(基本入力!$I$40+1),1)</f>
        <v>0</v>
      </c>
      <c r="P28" s="970">
        <f>IF(基本入力!V13&gt;0,CHOOSE((基本入力!$X13)+1,係数!$C9,係数!$D9,係数!$E9,係数!$F9,係数!$G9,係数!$H9,係数!$I9,係数!$J9,係数!$K9,係数!$L9,係数!$M9,係数!$N9,係数!$O9,係数!$P9,係数!$Q9,係数!$R9,係数!$S9,係数!$T9,係数!$U9,係数!$V9,係数!$W9,係数!$X9,係数!$Y9),0)*CHOOSE((基本入力!$C$7)+1,(基本入力!$I$40+1),1)</f>
        <v>0</v>
      </c>
      <c r="Q28" s="970">
        <f>IF(基本入力!Y13&gt;0,CHOOSE((基本入力!$AA13)+1,係数!$C9,係数!$D9,係数!$E9,係数!$F9,係数!$G9,係数!$H9,係数!$I9,係数!$J9,係数!$K9,係数!$L9,係数!$M9,係数!$N9,係数!$O9,係数!$P9,係数!$Q9,係数!$R9,係数!$S9,係数!$T9,係数!$U9,係数!$V9,係数!$W9,係数!$X9,係数!$Y9),0)*CHOOSE((基本入力!$C$7)+1,(基本入力!$I$40+1),1)</f>
        <v>0</v>
      </c>
      <c r="R28" s="970">
        <f>IF(基本入力!AB13&gt;0,CHOOSE((基本入力!$AD13)+1,係数!$C9,係数!$D9,係数!$E9,係数!$F9,係数!$G9,係数!$H9,係数!$I9,係数!$J9,係数!$K9,係数!$L9,係数!$M9,係数!$N9,係数!$O9,係数!$P9,係数!$Q9,係数!$R9,係数!$S9,係数!$T9,係数!$U9,係数!$V9,係数!$W9,係数!$X9,係数!$Y9),0)*CHOOSE((基本入力!$C$7)+1,(基本入力!$I$40+1),1)</f>
        <v>0</v>
      </c>
      <c r="S28" s="707">
        <f t="shared" si="0"/>
        <v>0</v>
      </c>
      <c r="T28" s="708">
        <f>J28*(基本入力!C13-基本入力!G13-基本入力!J13-基本入力!M13-基本入力!P13-基本入力!S13-基本入力!V13-基本入力!Y13-基本入力!AB13)</f>
        <v>0</v>
      </c>
      <c r="U28" s="708">
        <f>K28*基本入力!G13</f>
        <v>0</v>
      </c>
      <c r="V28" s="708">
        <f>L28*基本入力!J13</f>
        <v>0</v>
      </c>
      <c r="W28" s="708">
        <f>M28*基本入力!M13</f>
        <v>0</v>
      </c>
      <c r="X28" s="708">
        <f>N28*基本入力!P13</f>
        <v>0</v>
      </c>
      <c r="Y28" s="708">
        <f>O28*基本入力!S13</f>
        <v>0</v>
      </c>
      <c r="Z28" s="708">
        <f>P28*基本入力!V13</f>
        <v>0</v>
      </c>
      <c r="AA28" s="708">
        <f>Q28*基本入力!Y13</f>
        <v>0</v>
      </c>
      <c r="AB28" s="708">
        <f>R28*基本入力!AB13</f>
        <v>0</v>
      </c>
      <c r="AC28" s="862">
        <f t="shared" si="1"/>
        <v>0</v>
      </c>
      <c r="AD28" s="949"/>
    </row>
    <row r="29" spans="1:33" ht="21" customHeight="1">
      <c r="A29" s="1900"/>
      <c r="B29" s="1902"/>
      <c r="C29" s="1908"/>
      <c r="D29" s="1312" t="s">
        <v>517</v>
      </c>
      <c r="E29" s="1305">
        <f>IF(AND(COUNT(基本入力!C$13,基本入力!G$13,基本入力!J$13,基本入力!M$13,基本入力!P$13,基本入力!S$13,基本入力!V$13,基本入力!Y$13,基本入力!AB$13,基本入力!C$14,基本入力!G$14,基本入力!J$14,基本入力!M$14,基本入力!P$14,基本入力!S$14,基本入力!V$14,基本入力!Y$14,基本入力!AB$14)=1,J29=0),J28,IF(AND(COUNT(基本入力!C$13,基本入力!G$13,基本入力!J$13,基本入力!M$13,基本入力!P$13,基本入力!S$13,基本入力!V$13,基本入力!Y$13,基本入力!AB$13,基本入力!C$14,基本入力!G$14,基本入力!J$14,基本入力!M$14,基本入力!P$14,基本入力!S$14,基本入力!V$14,基本入力!Y$14,基本入力!AB$14)=1,J28=0),J29,IF(AND(J28=0,J29=0,COUNT(基本入力!G$13,基本入力!J$13,基本入力!M$13,基本入力!P$13,基本入力!S$13,基本入力!V$13,基本入力!Y$13,基本入力!AB$13,基本入力!G$14,基本入力!J$14,基本入力!M$14,基本入力!P$14,基本入力!S$14,基本入力!V$14,基本入力!Y$14,基本入力!AB$14)=1,K29=0),K28,IF(AND(J28=0,J29=0,COUNT(基本入力!G$13,基本入力!J$13,基本入力!M$13,基本入力!P$13,基本入力!S$13,基本入力!V$13,基本入力!Y$13,基本入力!AB$13,基本入力!G$14,基本入力!J$14,基本入力!M$14,基本入力!P$14,基本入力!S$14,基本入力!V$14,基本入力!Y$14,基本入力!AB$14)=1,K28=0),K29,IF(SUM(J28:R29)=0,0,"   （混在）")))))</f>
        <v>0</v>
      </c>
      <c r="F29" s="1305">
        <f>IF(基本入力!C34=1,SUM(基本入力!C13,基本入力!C$14),SUM(基本入力!G14,基本入力!J14,基本入力!M14,基本入力!P14,基本入力!S14,基本入力!Y14,基本入力!AB14)+SUM(基本入力!G13,基本入力!J13,基本入力!M13,基本入力!P13,基本入力!S13,基本入力!V13,基本入力!Y13,基本入力!AB13))</f>
        <v>0</v>
      </c>
      <c r="G29" s="1314" t="str">
        <f>IF(AC28+AC29-(AC42+AC43)=0,"-      ",AC28+AC29-(AC42+AC43))</f>
        <v xml:space="preserve">-      </v>
      </c>
      <c r="H29" s="969">
        <f>AC42+AC43</f>
        <v>0</v>
      </c>
      <c r="I29" s="950" t="s">
        <v>560</v>
      </c>
      <c r="J29" s="707">
        <f>IF(AND(基本入力!C34=1,基本入力!C14&gt;0),CHOOSE((基本入力!E14)+1,係数!C10,係数!D10,係数!E10,係数!F10,係数!G10,係数!H10,係数!I10,係数!J10,係数!K10,係数!L10,係数!M10,係数!N10,係数!O10,係数!P10,係数!Q10,係数!R10,係数!S10,係数!T10,係数!U10,係数!V10,係数!W10,係数!X10,係数!Y10),0)*CHOOSE((基本入力!C7+1),(基本入力!E40+1),1)</f>
        <v>0</v>
      </c>
      <c r="K29" s="707">
        <f>IF(基本入力!G14&gt;0,CHOOSE((基本入力!$I14)+1,係数!$C10,係数!$D10,係数!$E10,係数!$F10,係数!$G10,係数!$H10,係数!$I10,係数!$J10,係数!$K10,係数!$L10,係数!$M10,係数!$N10,係数!$O10,係数!$P10,係数!$Q10,係数!$R10,係数!$S10,係数!$T10,係数!$U10,係数!$V10,係数!$W10,係数!$X10,係数!$Y10),0)*CHOOSE((基本入力!$C$7)+1,(基本入力!$I$40+1),1)</f>
        <v>0</v>
      </c>
      <c r="L29" s="707">
        <f>IF(基本入力!J14&gt;0,CHOOSE((基本入力!$L14)+1,係数!$C10,係数!$D10,係数!$E10,係数!$F10,係数!$G10,係数!$H10,係数!$I10,係数!$J10,係数!$K10,係数!$L10,係数!$M10,係数!$N10,係数!$O10,係数!$P10,係数!$Q10,係数!$R10,係数!$S10,係数!$T10,係数!$U10,係数!$V10,係数!$W10,係数!$X10,係数!$Y10),0)*CHOOSE((基本入力!$C$7)+1,(基本入力!$I$40+1),1)</f>
        <v>0</v>
      </c>
      <c r="M29" s="707">
        <f>IF(基本入力!M14&gt;0,CHOOSE((基本入力!$O14)+1,係数!$C10,係数!$D10,係数!$E10,係数!$F10,係数!$G10,係数!$H10,係数!$I10,係数!$J10,係数!$K10,係数!$L10,係数!$M10,係数!$N10,係数!$O10,係数!$P10,係数!$Q10,係数!$R10,係数!$S10,係数!$T10,係数!$U10,係数!$V10,係数!$W10,係数!$X10,係数!$Y10),0)*CHOOSE((基本入力!$C$7)+1,(基本入力!$I$40+1),1)</f>
        <v>0</v>
      </c>
      <c r="N29" s="707">
        <f>IF(基本入力!P14&gt;0,CHOOSE((基本入力!$R14)+1,係数!$C10,係数!$D10,係数!$E10,係数!$F10,係数!$G10,係数!$H10,係数!$I10,係数!$J10,係数!$K10,係数!$L10,係数!$M10,係数!$N10,係数!$O10,係数!$P10,係数!$Q10,係数!$R10,係数!$S10,係数!$T10,係数!$U10,係数!$V10,係数!$W10,係数!$X10,係数!$Y10),0)*CHOOSE((基本入力!$C$7)+1,(基本入力!$I$40+1),1)</f>
        <v>0</v>
      </c>
      <c r="O29" s="707">
        <f>IF(基本入力!S14&gt;0,CHOOSE((基本入力!_UI14)+1,係数!$C10,係数!$D10,係数!$E10,係数!$F10,係数!$G10,係数!$H10,係数!$I10,係数!$J10,係数!$K10,係数!$L10,係数!$M10,係数!$N10,係数!$O10,係数!$P10,係数!$Q10,係数!$R10,係数!$S10,係数!$T10,係数!$U10,係数!$V10,係数!$W10,係数!$X10,係数!$Y10),0)*CHOOSE((基本入力!$C$7)+1,(基本入力!$I$40+1),1)</f>
        <v>0</v>
      </c>
      <c r="P29" s="707">
        <f>IF(基本入力!V14&gt;0,CHOOSE((基本入力!$X14)+1,係数!$C10,係数!$D10,係数!$E10,係数!$F10,係数!$G10,係数!$H10,係数!$I10,係数!$J10,係数!$K10,係数!$L10,係数!$M10,係数!$N10,係数!$O10,係数!$P10,係数!$Q10,係数!$R10,係数!$S10,係数!$T10,係数!$U10,係数!$V10,係数!$W10,係数!$X10,係数!$Y10),0)*CHOOSE((基本入力!$C$7)+1,(基本入力!$I$40+1),1)</f>
        <v>0</v>
      </c>
      <c r="Q29" s="707">
        <f>IF(基本入力!Y14&gt;0,CHOOSE((基本入力!$AA14)+1,係数!$C10,係数!$D10,係数!$E10,係数!$F10,係数!$G10,係数!$H10,係数!$I10,係数!$J10,係数!$K10,係数!$L10,係数!$M10,係数!$N10,係数!$O10,係数!$P10,係数!$Q10,係数!$R10,係数!$S10,係数!$T10,係数!$U10,係数!$V10,係数!$W10,係数!$X10,係数!$Y10),0)*CHOOSE((基本入力!$C$7)+1,(基本入力!$I$40+1),1)</f>
        <v>0</v>
      </c>
      <c r="R29" s="707">
        <f>IF(基本入力!AB14&gt;0,CHOOSE((基本入力!$AD14)+1,係数!$C10,係数!$D10,係数!$E10,係数!$F10,係数!$G10,係数!$H10,係数!$I10,係数!$J10,係数!$K10,係数!$L10,係数!$M10,係数!$N10,係数!$O10,係数!$P10,係数!$Q10,係数!$R10,係数!$S10,係数!$T10,係数!$U10,係数!$V10,係数!$W10,係数!$X10,係数!$Y10),0)*CHOOSE((基本入力!$C$7)+1,(基本入力!$I$40+1),1)</f>
        <v>0</v>
      </c>
      <c r="S29" s="707">
        <f>SUM(J29:R29)</f>
        <v>0</v>
      </c>
      <c r="T29" s="708">
        <f>J29*(基本入力!C14-基本入力!G14-基本入力!J14-基本入力!M14-基本入力!P14-基本入力!S14-基本入力!V14-基本入力!Y14-基本入力!AB14)</f>
        <v>0</v>
      </c>
      <c r="U29" s="708">
        <f>K29*基本入力!G14</f>
        <v>0</v>
      </c>
      <c r="V29" s="708">
        <f>L29*基本入力!J14</f>
        <v>0</v>
      </c>
      <c r="W29" s="708">
        <f>M29*基本入力!M14</f>
        <v>0</v>
      </c>
      <c r="X29" s="708">
        <f>N29*基本入力!P14</f>
        <v>0</v>
      </c>
      <c r="Y29" s="708">
        <f>O29*基本入力!S14</f>
        <v>0</v>
      </c>
      <c r="Z29" s="708">
        <f>P29*基本入力!V14</f>
        <v>0</v>
      </c>
      <c r="AA29" s="708">
        <f>Q29*基本入力!Y14</f>
        <v>0</v>
      </c>
      <c r="AB29" s="708">
        <f>R29*基本入力!AB14</f>
        <v>0</v>
      </c>
      <c r="AC29" s="862">
        <f t="shared" si="1"/>
        <v>0</v>
      </c>
      <c r="AD29" s="949"/>
    </row>
    <row r="30" spans="1:33" ht="21" customHeight="1">
      <c r="A30" s="1900"/>
      <c r="B30" s="1902" t="s">
        <v>514</v>
      </c>
      <c r="C30" s="1907" t="s">
        <v>661</v>
      </c>
      <c r="D30" s="1312" t="s">
        <v>536</v>
      </c>
      <c r="E30" s="1305">
        <f>IF(AND(COUNT(基本入力!C57,基本入力!G57,基本入力!J57,基本入力!M57,基本入力!P57,基本入力!S57,基本入力!V57,基本入力!Y57,基本入力!AB57)=1,S39=0),S37,IF(AND(COUNT(基本入力!C57,基本入力!G57,基本入力!J57,基本入力!M57,基本入力!P57,基本入力!S57,基本入力!V57,基本入力!Y57,基本入力!AB57)=1,S37=0),S39,IF(AND(S37=0,S39=0),0,"   （混在）")))</f>
        <v>0</v>
      </c>
      <c r="F30" s="1313">
        <f>基本入力!C57</f>
        <v>0</v>
      </c>
      <c r="G30" s="1314" t="str">
        <f>IF(AC37+AC39-(AC48+AC50)=0,"-      ",AC37+AC39-(AC48+AC50))</f>
        <v xml:space="preserve">-      </v>
      </c>
      <c r="H30" s="889">
        <f>AC48+AC50</f>
        <v>0</v>
      </c>
      <c r="I30" s="950" t="s">
        <v>561</v>
      </c>
      <c r="J30" s="707">
        <f>IF(AND(基本入力!C34=1,基本入力!C15&gt;0),CHOOSE((基本入力!E15)+1,係数!C11,係数!D11,係数!E11,係数!F11,係数!G11,係数!H11,係数!I11,係数!J11,係数!K11,係数!L11,係数!M11,係数!N11,係数!O11,係数!P11,係数!Q11,係数!R11,係数!S11,係数!T11,係数!U11,係数!V11,係数!W11,係数!X11,係数!Y11),0)*CHOOSE((基本入力!C7+1),(基本入力!E40+1),1)</f>
        <v>0</v>
      </c>
      <c r="K30" s="707">
        <f>IF(基本入力!G15&gt;0,CHOOSE((基本入力!$I15)+1,係数!$C11,係数!$D11,係数!$E11,係数!$F11,係数!$G11,係数!$H11,係数!$I11,係数!$J11,係数!$K11,係数!$L11,係数!$M11,係数!$N11,係数!$O11,係数!$P11,係数!$Q11,係数!$R11,係数!$S11,係数!$T11,係数!$U11,係数!$V11,係数!$W11,係数!$X11,係数!$Y11),0)*CHOOSE((基本入力!$C$7)+1,(基本入力!$I$40+1),1)</f>
        <v>0</v>
      </c>
      <c r="L30" s="707">
        <f>IF(基本入力!J15&gt;0,CHOOSE((基本入力!$L15)+1,係数!$C11,係数!$D11,係数!$E11,係数!$F11,係数!$G11,係数!$H11,係数!$I11,係数!$J11,係数!$K11,係数!$L11,係数!$M11,係数!$N11,係数!$O11,係数!$P11,係数!$Q11,係数!$R11,係数!$S11,係数!$T11,係数!$U11,係数!$V11,係数!$W11,係数!$X11,係数!$Y11),0)*CHOOSE((基本入力!$C$7)+1,(基本入力!$I$40+1),1)</f>
        <v>0</v>
      </c>
      <c r="M30" s="707">
        <f>IF(基本入力!M15&gt;0,CHOOSE((基本入力!$O15)+1,係数!$C11,係数!$D11,係数!$E11,係数!$F11,係数!$G11,係数!$H11,係数!$I11,係数!$J11,係数!$K11,係数!$L11,係数!$M11,係数!$N11,係数!$O11,係数!$P11,係数!$Q11,係数!$R11,係数!$S11,係数!$T11,係数!$U11,係数!$V11,係数!$W11,係数!$X11,係数!$Y11),0)*CHOOSE((基本入力!$C$7)+1,(基本入力!$I$40+1),1)</f>
        <v>0</v>
      </c>
      <c r="N30" s="707">
        <f>IF(基本入力!P15&gt;0,CHOOSE((基本入力!$R15)+1,係数!$C11,係数!$D11,係数!$E11,係数!$F11,係数!$G11,係数!$H11,係数!$I11,係数!$J11,係数!$K11,係数!$L11,係数!$M11,係数!$N11,係数!$O11,係数!$P11,係数!$Q11,係数!$R11,係数!$S11,係数!$T11,係数!$U11,係数!$V11,係数!$W11,係数!$X11,係数!$Y11),0)*CHOOSE((基本入力!$C$7)+1,(基本入力!$I$40+1),1)</f>
        <v>0</v>
      </c>
      <c r="O30" s="707">
        <f>IF(基本入力!S15&gt;0,CHOOSE((基本入力!$U15)+1,係数!$C11,係数!$D11,係数!$E11,係数!$F11,係数!$G11,係数!$H11,係数!$I11,係数!$J11,係数!$K11,係数!$L11,係数!$M11,係数!$N11,係数!$O11,係数!$P11,係数!$Q11,係数!$R11,係数!$S11,係数!$T11,係数!$U11,係数!$V11,係数!$W11,係数!$X11,係数!$Y11),0)*CHOOSE((基本入力!$C$7)+1,(基本入力!$I$40+1),1)</f>
        <v>0</v>
      </c>
      <c r="P30" s="707">
        <f>IF(基本入力!V15&gt;0,CHOOSE((基本入力!$X15)+1,係数!$C11,係数!$D11,係数!$E11,係数!$F11,係数!$G11,係数!$H11,係数!$I11,係数!$J11,係数!$K11,係数!$L11,係数!$M11,係数!$N11,係数!$O11,係数!$P11,係数!$Q11,係数!$R11,係数!$S11,係数!$T11,係数!$U11,係数!$V11,係数!$W11,係数!$X11,係数!$Y11),0)*CHOOSE((基本入力!$C$7)+1,(基本入力!$I$40+1),1)</f>
        <v>0</v>
      </c>
      <c r="Q30" s="707">
        <f>IF(基本入力!Y15&gt;0,CHOOSE((基本入力!$AA15)+1,係数!$C11,係数!$D11,係数!$E11,係数!$F11,係数!$G11,係数!$H11,係数!$I11,係数!$J11,係数!$K11,係数!$L11,係数!$M11,係数!$N11,係数!$O11,係数!$P11,係数!$Q11,係数!$R11,係数!$S11,係数!$T11,係数!$U11,係数!$V11,係数!$W11,係数!$X11,係数!$Y11),0)*CHOOSE((基本入力!$C$7)+1,(基本入力!$I$40+1),1)</f>
        <v>0</v>
      </c>
      <c r="R30" s="707">
        <f>IF(基本入力!AB15&gt;0,CHOOSE((基本入力!$AD15)+1,係数!$C11,係数!$D11,係数!$E11,係数!$F11,係数!$G11,係数!$H11,係数!$I11,係数!$J11,係数!$K11,係数!$L11,係数!$M11,係数!$N11,係数!$O11,係数!$P11,係数!$Q11,係数!$R11,係数!$S11,係数!$T11,係数!$U11,係数!$V11,係数!$W11,係数!$X11,係数!$Y11),0)*CHOOSE((基本入力!$C$7)+1,(基本入力!$I$40+1),1)</f>
        <v>0</v>
      </c>
      <c r="S30" s="707">
        <f t="shared" si="0"/>
        <v>0</v>
      </c>
      <c r="T30" s="708">
        <f>J30*(基本入力!C15-基本入力!G15-基本入力!J15-基本入力!M15-基本入力!P15-基本入力!S15-基本入力!V15-基本入力!Y15-基本入力!AB15)</f>
        <v>0</v>
      </c>
      <c r="U30" s="708">
        <f>K30*基本入力!G15</f>
        <v>0</v>
      </c>
      <c r="V30" s="708">
        <f>L30*基本入力!J15</f>
        <v>0</v>
      </c>
      <c r="W30" s="708">
        <f>M30*基本入力!M15</f>
        <v>0</v>
      </c>
      <c r="X30" s="708">
        <f>N30*基本入力!P15</f>
        <v>0</v>
      </c>
      <c r="Y30" s="708">
        <f>O30*基本入力!S15</f>
        <v>0</v>
      </c>
      <c r="Z30" s="708">
        <f>P30*基本入力!V15</f>
        <v>0</v>
      </c>
      <c r="AA30" s="708">
        <f>Q30*基本入力!Y15</f>
        <v>0</v>
      </c>
      <c r="AB30" s="708">
        <f>R30*基本入力!AB15</f>
        <v>0</v>
      </c>
      <c r="AC30" s="862">
        <f t="shared" si="1"/>
        <v>0</v>
      </c>
      <c r="AD30" s="949"/>
    </row>
    <row r="31" spans="1:33" ht="21" customHeight="1">
      <c r="A31" s="1900"/>
      <c r="B31" s="1903"/>
      <c r="C31" s="1951"/>
      <c r="D31" s="1312" t="s">
        <v>517</v>
      </c>
      <c r="E31" s="1305">
        <f>IF(AND(COUNT(基本入力!C$15,基本入力!G$15,基本入力!J$15,基本入力!M$15,基本入力!P$15,基本入力!S$15,基本入力!V$15,基本入力!Y$15,基本入力!AB$15,基本入力!C$16,基本入力!G$16,基本入力!J$16,基本入力!M$16,基本入力!P$16,基本入力!S$16,基本入力!V$16,基本入力!Y$16,基本入力!AB$16)=1,J31=0),J30,IF(AND(COUNT(基本入力!C$15,基本入力!G$15,基本入力!J$15,基本入力!M$15,基本入力!P$15,基本入力!S$15,基本入力!V$15,基本入力!Y$15,基本入力!AB$15,基本入力!C$16,基本入力!G$16,基本入力!J$16,基本入力!M$16,基本入力!P$16,基本入力!S$16,基本入力!V$16,基本入力!Y$16,基本入力!AB$16)=1,J30=0),J31,IF(AND(J30=0,J31=0,COUNT(基本入力!G$15,基本入力!J$15,基本入力!M$15,基本入力!P$15,基本入力!S$15,基本入力!V$15,基本入力!Y$15,基本入力!AB$15,基本入力!G$16,基本入力!J$16,基本入力!M$16,基本入力!P$16,基本入力!S$16,基本入力!V$16,基本入力!Y$16,基本入力!AB$16)=1,K31=0),K30,IF(AND(J30=0,J31=0,COUNT(基本入力!G$15,基本入力!J$15,基本入力!M$15,基本入力!P$15,基本入力!S$15,基本入力!V$15,基本入力!Y$15,基本入力!AB$15,基本入力!G$16,基本入力!J$16,基本入力!M$16,基本入力!P$16,基本入力!S$16,基本入力!V$16,基本入力!Y$16,基本入力!AB$16)=1,K30=0),K31,IF(SUM(J30:R31)=0,0,"   （混在）")))))</f>
        <v>123680</v>
      </c>
      <c r="F31" s="1305">
        <f>IF(基本入力!C34=1,SUM(基本入力!C15,基本入力!C$16),SUM(基本入力!G16,基本入力!J16,基本入力!M16,基本入力!P16,基本入力!S16,基本入力!V16,基本入力!Y16,基本入力!AB16)+SUM(基本入力!G15,基本入力!J15,基本入力!M15,基本入力!P15,基本入力!S15,基本入力!V15,基本入力!Y15,基本入力!AB15))</f>
        <v>245</v>
      </c>
      <c r="G31" s="1315" t="str">
        <f>IF(AC30+AC31-(AC44+AC45)=0,"-      ",AC30+AC31-(AC44+AC45))</f>
        <v xml:space="preserve">-      </v>
      </c>
      <c r="H31" s="889">
        <f>AC44+AC45</f>
        <v>30301600</v>
      </c>
      <c r="I31" s="950" t="s">
        <v>562</v>
      </c>
      <c r="J31" s="707">
        <f>IF(AND(基本入力!C34=1,基本入力!C16&gt;0),CHOOSE((基本入力!E16)+1,係数!C12,係数!D12,係数!E12,係数!F12,係数!G12,係数!H12,係数!I12,係数!J12,係数!K12,係数!L12,係数!M12,係数!N12,係数!O12,係数!P12,係数!Q12,係数!R12,係数!S12,係数!T12,係数!U12,係数!V12,係数!W12,係数!X12,係数!Y12),0)*CHOOSE((基本入力!C7+1),(基本入力!E40+1),1)</f>
        <v>123680</v>
      </c>
      <c r="K31" s="970">
        <f>IF(基本入力!G16&gt;0,CHOOSE((基本入力!$I16)+1,係数!$C12,係数!$D12,係数!$E12,係数!$F12,係数!$G12,係数!$H12,係数!$I12,係数!$J12,係数!$K12,係数!$L12,係数!$M12,係数!$N12,係数!$O12,係数!$P12,係数!$Q12,係数!$R12,係数!$S12,係数!$T12,係数!$U12,係数!$V12,係数!$W12,係数!$X12,係数!$Y12),0)*CHOOSE((基本入力!$C$7)+1,(基本入力!$I$40+1),1)</f>
        <v>0</v>
      </c>
      <c r="L31" s="970">
        <f>IF(基本入力!J16&gt;0,CHOOSE((基本入力!$L16)+1,係数!$C12,係数!$D12,係数!$E12,係数!$F12,係数!$G12,係数!$H12,係数!$I12,係数!$J12,係数!$K12,係数!$L12,係数!$M12,係数!$N12,係数!$O12,係数!$P12,係数!$Q12,係数!$R12,係数!$S12,係数!$T12,係数!$U12,係数!$V12,係数!$W12,係数!$X12,係数!$Y12),0)*CHOOSE((基本入力!$C$7)+1,(基本入力!$I$40+1),1)</f>
        <v>0</v>
      </c>
      <c r="M31" s="970">
        <f>IF(基本入力!M16&gt;0,CHOOSE((基本入力!$O16)+1,係数!$C12,係数!$D12,係数!$E12,係数!$F12,係数!$G12,係数!$H12,係数!$I12,係数!$J12,係数!$K12,係数!$L12,係数!$M12,係数!$N12,係数!$O12,係数!$P12,係数!$Q12,係数!$R12,係数!$S12,係数!$T12,係数!$U12,係数!$V12,係数!$W12,係数!$X12,係数!$Y12),0)*CHOOSE((基本入力!$C$7)+1,(基本入力!$I$40+1),1)</f>
        <v>0</v>
      </c>
      <c r="N31" s="970">
        <f>IF(基本入力!P16&gt;0,CHOOSE((基本入力!$R16)+1,係数!$C12,係数!$D12,係数!$E12,係数!$F12,係数!$G12,係数!$H12,係数!$I12,係数!$J12,係数!$K12,係数!$L12,係数!$M12,係数!$N12,係数!$O12,係数!$P12,係数!$Q12,係数!$R12,係数!$S12,係数!$T12,係数!$U12,係数!$V12,係数!$W12,係数!$X12,係数!$Y12),0)*CHOOSE((基本入力!$C$7)+1,(基本入力!$I$40+1),1)</f>
        <v>0</v>
      </c>
      <c r="O31" s="970">
        <f>IF(基本入力!S16&gt;0,CHOOSE((基本入力!$U16)+1,係数!$C12,係数!$D12,係数!$E12,係数!$F12,係数!$G12,係数!$H12,係数!$I12,係数!$J12,係数!$K12,係数!$L12,係数!$M12,係数!$N12,係数!$O12,係数!$P12,係数!$Q12,係数!$R12,係数!$S12,係数!$T12,係数!$U12,係数!$V12,係数!$W12,係数!$X12,係数!$Y12),0)*CHOOSE((基本入力!$C$7)+1,(基本入力!$I$40+1),1)</f>
        <v>0</v>
      </c>
      <c r="P31" s="970">
        <f>IF(基本入力!V16&gt;0,CHOOSE((基本入力!$X16)+1,係数!$C12,係数!$D12,係数!$E12,係数!$F12,係数!$G12,係数!$H12,係数!$I12,係数!$J12,係数!$K12,係数!$L12,係数!$M12,係数!$N12,係数!$O12,係数!$P12,係数!$Q12,係数!$R12,係数!$S12,係数!$T12,係数!$U12,係数!$V12,係数!$W12,係数!$X12,係数!$Y12),0)*CHOOSE((基本入力!$C$7)+1,(基本入力!$I$40+1),1)</f>
        <v>0</v>
      </c>
      <c r="Q31" s="970">
        <f>IF(基本入力!Y16&gt;0,CHOOSE((基本入力!$AA16)+1,係数!$C12,係数!$D12,係数!$E12,係数!$F12,係数!$G12,係数!$H12,係数!$I12,係数!$J12,係数!$K12,係数!$L12,係数!$M12,係数!$N12,係数!$O12,係数!$P12,係数!$Q12,係数!$R12,係数!$S12,係数!$T12,係数!$U12,係数!$V12,係数!$W12,係数!$X12,係数!$Y12),0)*CHOOSE((基本入力!$C$7)+1,(基本入力!$I$40+1),1)</f>
        <v>0</v>
      </c>
      <c r="R31" s="970">
        <f>IF(基本入力!AB16&gt;0,CHOOSE((基本入力!$AD16)+1,係数!$C12,係数!$D12,係数!$E12,係数!$F12,係数!$G12,係数!$H12,係数!$I12,係数!$J12,係数!$K12,係数!$L12,係数!$M12,係数!$N12,係数!$O12,係数!$P12,係数!$Q12,係数!$R12,係数!$S12,係数!$T12,係数!$U12,係数!$V12,係数!$W12,係数!$X12,係数!$Y12),0)*CHOOSE((基本入力!$C$7)+1,(基本入力!$I$40+1),1)</f>
        <v>0</v>
      </c>
      <c r="S31" s="707">
        <f t="shared" si="0"/>
        <v>123680</v>
      </c>
      <c r="T31" s="708">
        <f>J31*(基本入力!C16-基本入力!G16-基本入力!J16-基本入力!M16-基本入力!P16-基本入力!S16-基本入力!V16-基本入力!Y16-基本入力!AB16)</f>
        <v>30301600</v>
      </c>
      <c r="U31" s="708">
        <f>K31*基本入力!G16</f>
        <v>0</v>
      </c>
      <c r="V31" s="708">
        <f>L31*基本入力!J16</f>
        <v>0</v>
      </c>
      <c r="W31" s="708">
        <f>M31*基本入力!M16</f>
        <v>0</v>
      </c>
      <c r="X31" s="708">
        <f>N31*基本入力!P16</f>
        <v>0</v>
      </c>
      <c r="Y31" s="708">
        <f>O31*基本入力!S16</f>
        <v>0</v>
      </c>
      <c r="Z31" s="708">
        <f>P31*基本入力!V16</f>
        <v>0</v>
      </c>
      <c r="AA31" s="708">
        <f>Q31*基本入力!Y16</f>
        <v>0</v>
      </c>
      <c r="AB31" s="708">
        <f>R31*基本入力!AB16</f>
        <v>0</v>
      </c>
      <c r="AC31" s="862">
        <f t="shared" si="1"/>
        <v>30301600</v>
      </c>
      <c r="AD31" s="862">
        <f>SUM(AC28:AC31)</f>
        <v>30301600</v>
      </c>
    </row>
    <row r="32" spans="1:33" ht="21" customHeight="1">
      <c r="A32" s="1900"/>
      <c r="B32" s="1911" t="s">
        <v>717</v>
      </c>
      <c r="C32" s="1912"/>
      <c r="D32" s="1913"/>
      <c r="E32" s="1305">
        <f>IF(AVERAGE(K32,L32,M32,N32,O32,P32,Q32,R32)=0,J32,IF(AND(基本入力!C35=0,AVERAGE(L32,M32,N32,O32,P32,Q32,R32)=0),K32,IF(AND(基本入力!C35=0,AVERAGE(K32,M32,N32,O32,P32,Q32,R32)=0),L32,IF(AND(基本入力!C35=0,AVERAGE(K32,L32,N32,O32,P32,Q32,R32)=0),M32,IF(AND(基本入力!C35=0,AVERAGE(K32,L32,M32,O32,P32,Q32,R32)=0),N32,IF(AND(基本入力!C35=0,AVERAGE(K32,L32,M32,N32,P32,Q32,R32)=0),O32,"   （混在）"))))))</f>
        <v>9720</v>
      </c>
      <c r="F32" s="1305">
        <f>IF(基本入力!C35=1,SUM(基本入力!C$13:C$16)+SUM(基本入力!C$56:C$57),0)</f>
        <v>245</v>
      </c>
      <c r="G32" s="1306">
        <f>AC32</f>
        <v>2381400</v>
      </c>
      <c r="H32" s="1307" t="s">
        <v>718</v>
      </c>
      <c r="I32" s="1311"/>
      <c r="J32" s="707">
        <f>IF(基本入力!C35=1,CHOOSE((基本入力!E35)+1,係数!C13,係数!D13,係数!E13,係数!F13,係数!G13,係数!H13,係数!I13,係数!J13,係数!K13,係数!L13,係数!M13,係数!N13,係数!O13,係数!P13,係数!Q13,係数!R13,係数!S13,係数!T13,係数!U13,係数!V13,係数!W13,係数!X13,係数!Y13),0)*CHOOSE((基本入力!C7+1),(基本入力!E40+1),1)</f>
        <v>9720</v>
      </c>
      <c r="K32" s="970">
        <f>IF(基本入力!G35&gt;0,CHOOSE((基本入力!$I35)+1,係数!$C13,係数!$D13,係数!$E13,係数!$F13,係数!$G13,係数!$H13,係数!$I13,係数!$J13,係数!$K13,係数!$L13,係数!$M13,係数!$N13,係数!$O13,係数!$P13,係数!$Q13,係数!$R13,係数!$S13,係数!$T13,係数!$U13,係数!$V13,係数!$W13,係数!$X13,係数!$Y13),0)*CHOOSE((基本入力!$C$7)+1,(基本入力!$I$40+1),1)</f>
        <v>0</v>
      </c>
      <c r="L32" s="970">
        <f>IF(基本入力!J35&gt;0,CHOOSE((基本入力!$L35)+1,係数!$C13,係数!$D13,係数!$E13,係数!$F13,係数!$G13,係数!$H13,係数!$I13,係数!$J13,係数!$K13,係数!$L13,係数!$M13,係数!$N13,係数!$O13,係数!$P13,係数!$Q13,係数!$R13,係数!$S13,係数!$T13,係数!$U13,係数!$V13,係数!$W13,係数!$X13,係数!$Y13),0)*CHOOSE((基本入力!$C$7)+1,(基本入力!$I$40+1),1)</f>
        <v>0</v>
      </c>
      <c r="M32" s="970">
        <f>IF(基本入力!M35&gt;0,CHOOSE((基本入力!$O35)+1,係数!$C13,係数!$D13,係数!$E13,係数!$F13,係数!$G13,係数!$H13,係数!$I13,係数!$J13,係数!$K13,係数!$L13,係数!$M13,係数!$N13,係数!$O13,係数!$P13,係数!$Q13,係数!$R13,係数!$S13,係数!$T13,係数!$U13,係数!$V13,係数!$W13,係数!$X13,係数!$Y13),0)*CHOOSE((基本入力!$C$7)+1,(基本入力!$I$40+1),1)</f>
        <v>0</v>
      </c>
      <c r="N32" s="970">
        <f>IF(基本入力!P35&gt;0,CHOOSE((基本入力!$R35)+1,係数!$C13,係数!$D13,係数!$E13,係数!$F13,係数!$G13,係数!$H13,係数!$I13,係数!$J13,係数!$K13,係数!$L13,係数!$M13,係数!$N13,係数!$O13,係数!$P13,係数!$Q13,係数!$R13,係数!$S13,係数!$T13,係数!$U13,係数!$V13,係数!$W13,係数!$X13,係数!$Y13),0)*CHOOSE((基本入力!$C$7)+1,(基本入力!$I$40+1),1)</f>
        <v>0</v>
      </c>
      <c r="O32" s="970">
        <f>IF(基本入力!S35&gt;0,CHOOSE((基本入力!$U35)+1,係数!$C13,係数!$D13,係数!$E13,係数!$F13,係数!$G13,係数!$H13,係数!$I13,係数!$J13,係数!$K13,係数!$L13,係数!$M13,係数!$N13,係数!$O13,係数!$P13,係数!$Q13,係数!$R13,係数!$S13,係数!$T13,係数!$U13,係数!$V13,係数!$W13,係数!$X13,係数!$Y13),0)*CHOOSE((基本入力!$C$7)+1,(基本入力!$I$40+1),1)</f>
        <v>0</v>
      </c>
      <c r="P32" s="970">
        <f>IF(基本入力!V35&gt;0,CHOOSE((基本入力!$X35)+1,係数!$C13,係数!$D13,係数!$E13,係数!$F13,係数!$G13,係数!$H13,係数!$I13,係数!$J13,係数!$K13,係数!$L13,係数!$M13,係数!$N13,係数!$O13,係数!$P13,係数!$Q13,係数!$R13,係数!$S13,係数!$T13,係数!$U13,係数!$V13,係数!$W13,係数!$X13,係数!$Y13),0)*CHOOSE((基本入力!$C$7)+1,(基本入力!$I$40+1),1)</f>
        <v>0</v>
      </c>
      <c r="Q32" s="970">
        <f>IF(基本入力!Y35&gt;0,CHOOSE((基本入力!$AA35)+1,係数!$C13,係数!$D13,係数!$E13,係数!$F13,係数!$G13,係数!$H13,係数!$I13,係数!$J13,係数!$K13,係数!$L13,係数!$M13,係数!$N13,係数!$O13,係数!$P13,係数!$Q13,係数!$R13,係数!$S13,係数!$T13,係数!$U13,係数!$V13,係数!$W13,係数!$X13,係数!$Y13),0)*CHOOSE((基本入力!$C$7)+1,(基本入力!$I$40+1),1)</f>
        <v>0</v>
      </c>
      <c r="R32" s="970">
        <f>IF(基本入力!AB35&gt;0,CHOOSE((基本入力!$AD35)+1,係数!$C13,係数!$D13,係数!$E13,係数!$F13,係数!$G13,係数!$H13,係数!$I13,係数!$J13,係数!$K13,係数!$L13,係数!$M13,係数!$N13,係数!$O13,係数!$P13,係数!$Q13,係数!$R13,係数!$S13,係数!$T13,係数!$U13,係数!$V13,係数!$W13,係数!$X13,係数!$Y13),0)*CHOOSE((基本入力!$C$7)+1,(基本入力!$I$40+1),1)</f>
        <v>0</v>
      </c>
      <c r="S32" s="707">
        <f t="shared" si="0"/>
        <v>9720</v>
      </c>
      <c r="T32" s="708">
        <f>J32*($F32-基本入力!G35-基本入力!J35-基本入力!M35-基本入力!P35-基本入力!S35-基本入力!V35-基本入力!Y35-基本入力!AB35)</f>
        <v>2381400</v>
      </c>
      <c r="U32" s="708">
        <f>K32*基本入力!G35</f>
        <v>0</v>
      </c>
      <c r="V32" s="708">
        <f>L32*基本入力!J35</f>
        <v>0</v>
      </c>
      <c r="W32" s="708">
        <f>M32*基本入力!M35</f>
        <v>0</v>
      </c>
      <c r="X32" s="708">
        <f>N32*基本入力!P35</f>
        <v>0</v>
      </c>
      <c r="Y32" s="708">
        <f>O32*基本入力!S35</f>
        <v>0</v>
      </c>
      <c r="Z32" s="708">
        <f>P32*基本入力!V35</f>
        <v>0</v>
      </c>
      <c r="AA32" s="708">
        <f>Q32*基本入力!Y35</f>
        <v>0</v>
      </c>
      <c r="AB32" s="708">
        <f>R32*基本入力!AB35</f>
        <v>0</v>
      </c>
      <c r="AC32" s="862">
        <f t="shared" si="1"/>
        <v>2381400</v>
      </c>
      <c r="AD32" s="949"/>
    </row>
    <row r="33" spans="1:31" ht="21" customHeight="1">
      <c r="A33" s="1900"/>
      <c r="B33" s="1914" t="s">
        <v>719</v>
      </c>
      <c r="C33" s="1915"/>
      <c r="D33" s="1916"/>
      <c r="E33" s="1305">
        <f>IF(AVERAGE(K33,L33,M33,N33,O33,P33,Q33,R33)=0,J33,IF(AND(基本入力!C36=0,AVERAGE(L33,M33,N33,O33,P33,Q33,R33)=0),K33,IF(AND(基本入力!C36=0,AVERAGE(K33,M33,N33,O33,P33,Q33,R33)=0),L33,IF(AND(基本入力!C36=0,AVERAGE(K33,L33,N33,O33,P33,Q33,R33)=0),M33,IF(AND(基本入力!C36=0,AVERAGE(K33,L33,M33,O33,P33,Q33,R33)=0),N33,IF(AND(基本入力!C36=0,AVERAGE(K33,L33,M33,N33,P33,Q33,R33)=0),O33,"   （混在）"))))))</f>
        <v>380</v>
      </c>
      <c r="F33" s="1305">
        <f>IF(基本入力!C36=1,SUM(基本入力!C$13:C$16)+SUM(基本入力!C$56:C$57),0)</f>
        <v>245</v>
      </c>
      <c r="G33" s="1306">
        <f>AC33</f>
        <v>93100</v>
      </c>
      <c r="H33" s="1307" t="s">
        <v>718</v>
      </c>
      <c r="I33" s="950"/>
      <c r="J33" s="707">
        <f>IF(基本入力!C36=1,CHOOSE((基本入力!E36)+1,係数!C14,係数!D14,係数!E14,係数!F14,係数!G14,係数!H14,係数!I14,係数!J14,係数!K14,係数!L14,係数!M14,係数!N14,係数!O14,係数!P14,係数!Q14,係数!R14,係数!S14,係数!T14,係数!U14,係数!V14,係数!W14,係数!X14,係数!Y14),0)*CHOOSE((基本入力!C7+1),(基本入力!E40+1),1)</f>
        <v>380</v>
      </c>
      <c r="K33" s="707">
        <f>IF(基本入力!G36&gt;0,CHOOSE((基本入力!$I36)+1,係数!$C14,係数!$D14,係数!$E14,係数!$F14,係数!$G14,係数!$H14,係数!$I14,係数!$J14,係数!$K14,係数!$L14,係数!$M14,係数!$N14,係数!$O14,係数!$P14,係数!$Q14,係数!$R14,係数!$S14,係数!$T14,係数!$U14,係数!$V14,係数!$W14,係数!$X14,係数!$Y14),0)*CHOOSE((基本入力!$C$7)+1,(基本入力!$I$40+1),1)</f>
        <v>0</v>
      </c>
      <c r="L33" s="707">
        <f>IF(基本入力!J36&gt;0,CHOOSE((基本入力!$L36)+1,係数!$C14,係数!$D14,係数!$E14,係数!$F14,係数!$G14,係数!$H14,係数!$I14,係数!$J14,係数!$K14,係数!$L14,係数!$M14,係数!$N14,係数!$O14,係数!$P14,係数!$Q14,係数!$R14,係数!$S14,係数!$T14,係数!$U14,係数!$V14,係数!$W14,係数!$X14,係数!$Y14),0)*CHOOSE((基本入力!$C$7)+1,(基本入力!$I$40+1),1)</f>
        <v>0</v>
      </c>
      <c r="M33" s="707">
        <f>IF(基本入力!M36&gt;0,CHOOSE((基本入力!$O36)+1,係数!$C14,係数!$D14,係数!$E14,係数!$F14,係数!$G14,係数!$H14,係数!$I14,係数!$J14,係数!$K14,係数!$L14,係数!$M14,係数!$N14,係数!$O14,係数!$P14,係数!$Q14,係数!$R14,係数!$S14,係数!$T14,係数!$U14,係数!$V14,係数!$W14,係数!$X14,係数!$Y14),0)*CHOOSE((基本入力!$C$7)+1,(基本入力!$I$40+1),1)</f>
        <v>0</v>
      </c>
      <c r="N33" s="707">
        <f>IF(基本入力!P36&gt;0,CHOOSE((基本入力!$R36)+1,係数!$C14,係数!$D14,係数!$E14,係数!$F14,係数!$G14,係数!$H14,係数!$I14,係数!$J14,係数!$K14,係数!$L14,係数!$M14,係数!$N14,係数!$O14,係数!$P14,係数!$Q14,係数!$R14,係数!$S14,係数!$T14,係数!$U14,係数!$V14,係数!$W14,係数!$X14,係数!$Y14),0)*CHOOSE((基本入力!$C$7)+1,(基本入力!$I$40+1),1)</f>
        <v>0</v>
      </c>
      <c r="O33" s="707">
        <f>IF(基本入力!S36&gt;0,CHOOSE((基本入力!$U36)+1,係数!$C14,係数!$D14,係数!$E14,係数!$F14,係数!$G14,係数!$H14,係数!$I14,係数!$J14,係数!$K14,係数!$L14,係数!$M14,係数!$N14,係数!$O14,係数!$P14,係数!$Q14,係数!$R14,係数!$S14,係数!$T14,係数!$U14,係数!$V14,係数!$W14,係数!$X14,係数!$Y14),0)*CHOOSE((基本入力!$C$7)+1,(基本入力!$I$40+1),1)</f>
        <v>0</v>
      </c>
      <c r="P33" s="707">
        <f>IF(基本入力!V36&gt;0,CHOOSE((基本入力!$X36)+1,係数!$C14,係数!$D14,係数!$E14,係数!$F14,係数!$G14,係数!$H14,係数!$I14,係数!$J14,係数!$K14,係数!$L14,係数!$M14,係数!$N14,係数!$O14,係数!$P14,係数!$Q14,係数!$R14,係数!$S14,係数!$T14,係数!$U14,係数!$V14,係数!$W14,係数!$X14,係数!$Y14),0)*CHOOSE((基本入力!$C$7)+1,(基本入力!$I$40+1),1)</f>
        <v>0</v>
      </c>
      <c r="Q33" s="707">
        <f>IF(基本入力!Y36&gt;0,CHOOSE((基本入力!$AA36)+1,係数!$C14,係数!$D14,係数!$E14,係数!$F14,係数!$G14,係数!$H14,係数!$I14,係数!$J14,係数!$K14,係数!$L14,係数!$M14,係数!$N14,係数!$O14,係数!$P14,係数!$Q14,係数!$R14,係数!$S14,係数!$T14,係数!$U14,係数!$V14,係数!$W14,係数!$X14,係数!$Y14),0)*CHOOSE((基本入力!$C$7)+1,(基本入力!$I$40+1),1)</f>
        <v>0</v>
      </c>
      <c r="R33" s="707">
        <f>IF(基本入力!AB36&gt;0,CHOOSE((基本入力!$AD36)+1,係数!$C14,係数!$D14,係数!$E14,係数!$F14,係数!$G14,係数!$H14,係数!$I14,係数!$J14,係数!$K14,係数!$L14,係数!$M14,係数!$N14,係数!$O14,係数!$P14,係数!$Q14,係数!$R14,係数!$S14,係数!$T14,係数!$U14,係数!$V14,係数!$W14,係数!$X14,係数!$Y14),0)*CHOOSE((基本入力!$C$7)+1,(基本入力!$I$40+1),1)</f>
        <v>0</v>
      </c>
      <c r="S33" s="707">
        <f t="shared" si="0"/>
        <v>380</v>
      </c>
      <c r="T33" s="708">
        <f>J33*($F33-基本入力!G36-基本入力!J36-基本入力!M36-基本入力!P36-基本入力!S36-基本入力!V36-基本入力!Y36-基本入力!AB36)</f>
        <v>93100</v>
      </c>
      <c r="U33" s="708">
        <f>K33*基本入力!G36</f>
        <v>0</v>
      </c>
      <c r="V33" s="708">
        <f>L33*基本入力!J36</f>
        <v>0</v>
      </c>
      <c r="W33" s="708">
        <f>M33*基本入力!M36</f>
        <v>0</v>
      </c>
      <c r="X33" s="708">
        <f>N33*基本入力!P36</f>
        <v>0</v>
      </c>
      <c r="Y33" s="708">
        <f>O33*基本入力!S36</f>
        <v>0</v>
      </c>
      <c r="Z33" s="708">
        <f>P33*基本入力!V36</f>
        <v>0</v>
      </c>
      <c r="AA33" s="708">
        <f>Q33*基本入力!Y36</f>
        <v>0</v>
      </c>
      <c r="AB33" s="708">
        <f>R33*基本入力!AB36</f>
        <v>0</v>
      </c>
      <c r="AC33" s="862">
        <f t="shared" si="1"/>
        <v>93100</v>
      </c>
      <c r="AD33" s="949"/>
    </row>
    <row r="34" spans="1:31" ht="21" customHeight="1">
      <c r="A34" s="1900"/>
      <c r="B34" s="1914" t="s">
        <v>723</v>
      </c>
      <c r="C34" s="1915"/>
      <c r="D34" s="1916"/>
      <c r="E34" s="1305">
        <f>IF(SUM(基本入力!C13:C16)+SUM(基本入力!C56:C57)&lt;=250,G40*(CHOOSE(基本入力!C7+1,基本入力!E40+1,1)),IF(H48=0,0,"　 （混在）"))</f>
        <v>8910</v>
      </c>
      <c r="F34" s="1306">
        <f>IF(基本入力!C37=1,SUM(基本入力!C$13:C$16)+SUM(基本入力!C$56:C$57),0)</f>
        <v>245</v>
      </c>
      <c r="G34" s="1306">
        <f>H48</f>
        <v>2182950</v>
      </c>
      <c r="H34" s="1307" t="s">
        <v>713</v>
      </c>
      <c r="I34" s="950"/>
      <c r="J34" s="708"/>
      <c r="K34" s="708"/>
      <c r="L34" s="708"/>
      <c r="M34" s="707"/>
      <c r="N34" s="707"/>
      <c r="O34" s="707"/>
      <c r="P34" s="707"/>
      <c r="Q34" s="707"/>
      <c r="R34" s="707"/>
      <c r="S34" s="707"/>
      <c r="T34" s="951"/>
      <c r="U34" s="951"/>
      <c r="V34" s="951"/>
      <c r="W34" s="951"/>
      <c r="X34" s="951"/>
      <c r="Y34" s="951"/>
      <c r="Z34" s="951"/>
      <c r="AA34" s="951"/>
      <c r="AB34" s="951"/>
      <c r="AC34" s="949"/>
      <c r="AD34" s="949"/>
    </row>
    <row r="35" spans="1:31" ht="21" customHeight="1">
      <c r="A35" s="1900"/>
      <c r="B35" s="1904" t="s">
        <v>724</v>
      </c>
      <c r="C35" s="1905"/>
      <c r="D35" s="1905"/>
      <c r="E35" s="1905"/>
      <c r="F35" s="1906"/>
      <c r="G35" s="1417">
        <f>SUM(G22,G23,G26,G27,G28,G29,G30,G31,G32,G33,G34)</f>
        <v>14636300</v>
      </c>
      <c r="H35" s="1307" t="s">
        <v>713</v>
      </c>
      <c r="I35" s="709" t="s">
        <v>32</v>
      </c>
      <c r="J35" s="707"/>
      <c r="K35" s="707"/>
      <c r="L35" s="707"/>
      <c r="M35" s="707"/>
      <c r="N35" s="707"/>
      <c r="O35" s="707"/>
      <c r="P35" s="707"/>
      <c r="Q35" s="707"/>
      <c r="R35" s="707"/>
      <c r="S35" s="707"/>
      <c r="T35" s="707">
        <f t="shared" ref="T35:Y35" si="4">SUM(T22:T34)</f>
        <v>45366650</v>
      </c>
      <c r="U35" s="707">
        <f t="shared" si="4"/>
        <v>0</v>
      </c>
      <c r="V35" s="707">
        <f t="shared" si="4"/>
        <v>0</v>
      </c>
      <c r="W35" s="707">
        <f t="shared" si="4"/>
        <v>0</v>
      </c>
      <c r="X35" s="707">
        <f t="shared" si="4"/>
        <v>0</v>
      </c>
      <c r="Y35" s="707">
        <f t="shared" si="4"/>
        <v>0</v>
      </c>
      <c r="Z35" s="951"/>
      <c r="AA35" s="951"/>
      <c r="AB35" s="951"/>
      <c r="AC35" s="949"/>
      <c r="AD35" s="949"/>
    </row>
    <row r="36" spans="1:31" ht="21" customHeight="1">
      <c r="A36" s="1900"/>
      <c r="B36" s="1904" t="s">
        <v>725</v>
      </c>
      <c r="C36" s="1942"/>
      <c r="D36" s="1942"/>
      <c r="E36" s="1942"/>
      <c r="F36" s="1943"/>
      <c r="G36" s="1316" t="s">
        <v>713</v>
      </c>
      <c r="H36" s="1418">
        <f>SUM(H22:H24,H26:H34)</f>
        <v>32913300</v>
      </c>
      <c r="I36" s="709" t="s">
        <v>560</v>
      </c>
      <c r="J36" s="707">
        <f>IF(AND(基本入力!$C$56&gt;0,基本入力!$C$54=1),CHOOSE((基本入力!$E$56)+1,係数!$C$10,係数!$D$10,係数!E$10,係数!$F$10,係数!$G$10,係数!$H$10,係数!$I$10,係数!$J$10,係数!$K$10,係数!$L$10,係数!$M$10,係数!$N$10,係数!$O$10,係数!$P$10,係数!$Q$10,係数!$R$10,係数!$S$10,係数!$T$10,係数!$U$10,係数!$V$10,係数!$W$10,係数!$X$10,係数!$Y$10),0)*CHOOSE((基本入力!$C$7+1),(基本入力!$E$40+1),1)</f>
        <v>0</v>
      </c>
      <c r="K36" s="707">
        <f>IF(AND(基本入力!G56&gt;0,基本入力!$C$54=1),CHOOSE((基本入力!$I56)+1,係数!$C10,係数!$D10,係数!$E10,係数!$F10,係数!$G10,係数!$H10,係数!$I10,係数!$J10,係数!$K10,係数!$L10,係数!$M10,係数!$N10,係数!$O10,係数!$P10,係数!$Q10,係数!$R10,係数!$S10,係数!$T10,係数!$U10,係数!$V10,係数!$W10,係数!$X10,係数!$Y10),0)*CHOOSE((基本入力!$C$7)+1,(基本入力!$I$40+1),1)</f>
        <v>0</v>
      </c>
      <c r="L36" s="707">
        <f>IF(AND(基本入力!J56&gt;0,基本入力!$C$54=1),CHOOSE((基本入力!$L56)+1,係数!$C10,係数!$D10,係数!$E10,係数!$F10,係数!$G10,係数!$H10,係数!$I10,係数!$J10,係数!$K10,係数!$L10,係数!$M10,係数!$N10,係数!$O10,係数!$P10,係数!$Q10,係数!$R10,係数!$S10,係数!$T10,係数!$U10,係数!$V10,係数!$W10,係数!$X10,係数!$Y10),0)*CHOOSE((基本入力!$C$7)+1,(基本入力!$I$40+1),1)</f>
        <v>0</v>
      </c>
      <c r="M36" s="707">
        <f>IF(AND(基本入力!M56&gt;0,基本入力!$C$54=1),CHOOSE((基本入力!$O56)+1,係数!$C10,係数!$D10,係数!$E10,係数!$F10,係数!$G10,係数!$H10,係数!$I10,係数!$J10,係数!$K10,係数!$L10,係数!$M10,係数!$N10,係数!$O10,係数!$P10,係数!$Q10,係数!$R10,係数!$S10,係数!$T10,係数!$U10,係数!$V10,係数!$W10,係数!$X10,係数!$Y10),0)*CHOOSE((基本入力!$C$7)+1,(基本入力!$I$40+1),1)</f>
        <v>0</v>
      </c>
      <c r="N36" s="707">
        <f>IF(AND(基本入力!P56&gt;0,基本入力!$C$54=1),CHOOSE((基本入力!$R56)+1,係数!$C10,係数!$D10,係数!$E10,係数!$F10,係数!$G10,係数!$H10,係数!$I10,係数!$J10,係数!$K10,係数!$L10,係数!$M10,係数!$N10,係数!$O10,係数!$P10,係数!$Q10,係数!$R10,係数!$S10,係数!$T10,係数!$U10,係数!$V10,係数!$W10,係数!$X10,係数!$Y10),0)*CHOOSE((基本入力!$C$7)+1,(基本入力!$I$40+1),1)</f>
        <v>0</v>
      </c>
      <c r="O36" s="707">
        <f>IF(AND(基本入力!S56&gt;0,基本入力!$C$54=1),CHOOSE((基本入力!$U56)+1,係数!$C10,係数!$D10,係数!$E10,係数!$F10,係数!$G10,係数!$H10,係数!$I10,係数!$J10,係数!$K10,係数!$L10,係数!$M10,係数!$N10,係数!$O10,係数!$P10,係数!$Q10,係数!$R10,係数!$S10,係数!$T10,係数!$U10,係数!$V10,係数!$W10,係数!$X10,係数!$Y10),0)*CHOOSE((基本入力!$C$7)+1,(基本入力!$I$40+1),1)</f>
        <v>0</v>
      </c>
      <c r="P36" s="707">
        <f>IF(AND(基本入力!V56&gt;0,基本入力!$C$54=1),CHOOSE((基本入力!$X56)+1,係数!$C10,係数!$D10,係数!$E10,係数!$F10,係数!$G10,係数!$H10,係数!$I10,係数!$J10,係数!$K10,係数!$L10,係数!$M10,係数!$N10,係数!$O10,係数!$P10,係数!$Q10,係数!$R10,係数!$S10,係数!$T10,係数!$U10,係数!$V10,係数!$W10,係数!$X10,係数!$Y10),0)*CHOOSE((基本入力!$C$7)+1,(基本入力!$I$40+1),1)</f>
        <v>0</v>
      </c>
      <c r="Q36" s="707">
        <f>IF(AND(基本入力!Y56&gt;0,基本入力!$C$54=1),CHOOSE((基本入力!$AA56)+1,係数!$C10,係数!$D10,係数!$E10,係数!$F10,係数!$G10,係数!$H10,係数!$I10,係数!$J10,係数!$K10,係数!$L10,係数!$M10,係数!$N10,係数!$O10,係数!$P10,係数!$Q10,係数!$R10,係数!$S10,係数!$T10,係数!$U10,係数!$V10,係数!$W10,係数!$X10,係数!$Y10),0)*CHOOSE((基本入力!$C$7)+1,(基本入力!$I$40+1),1)</f>
        <v>0</v>
      </c>
      <c r="R36" s="707">
        <f>IF(AND(基本入力!AB56&gt;0,基本入力!$C$54=1),CHOOSE((基本入力!$AD56)+1,係数!$C10,係数!$D10,係数!$E10,係数!$F10,係数!$G10,係数!$H10,係数!$I10,係数!$J10,係数!$K10,係数!$L10,係数!$M10,係数!$N10,係数!$O10,係数!$P10,係数!$Q10,係数!$R10,係数!$S10,係数!$T10,係数!$U10,係数!$V10,係数!$W10,係数!$X10,係数!$Y10),0)*CHOOSE((基本入力!$C$7)+1,(基本入力!$I$40+1),1)</f>
        <v>0</v>
      </c>
      <c r="S36" s="707">
        <f t="shared" si="0"/>
        <v>0</v>
      </c>
      <c r="T36" s="708">
        <f>J36*(基本入力!$C$56-基本入力!$G$56-基本入力!$J$56-基本入力!$M$56-基本入力!$P$56-基本入力!$S$56-基本入力!$V$56-基本入力!$Y$56-基本入力!$AB$56)</f>
        <v>0</v>
      </c>
      <c r="U36" s="708">
        <f>K36*基本入力!$G$56</f>
        <v>0</v>
      </c>
      <c r="V36" s="708">
        <f>L36*基本入力!$J$56</f>
        <v>0</v>
      </c>
      <c r="W36" s="708">
        <f>M36*基本入力!$M$56</f>
        <v>0</v>
      </c>
      <c r="X36" s="708">
        <f>N36*基本入力!$P$56</f>
        <v>0</v>
      </c>
      <c r="Y36" s="708">
        <f>O36*基本入力!$S$56</f>
        <v>0</v>
      </c>
      <c r="Z36" s="708">
        <f>P36*基本入力!$V$56</f>
        <v>0</v>
      </c>
      <c r="AA36" s="708">
        <f>Q36*基本入力!$Y$56</f>
        <v>0</v>
      </c>
      <c r="AB36" s="708">
        <f>R36*基本入力!$AB$56</f>
        <v>0</v>
      </c>
      <c r="AC36" s="862">
        <f>SUM(T36:AB36)</f>
        <v>0</v>
      </c>
      <c r="AD36" s="949"/>
    </row>
    <row r="37" spans="1:31" ht="21" customHeight="1" thickBot="1">
      <c r="A37" s="1901"/>
      <c r="B37" s="1939" t="s">
        <v>720</v>
      </c>
      <c r="C37" s="1940"/>
      <c r="D37" s="1940"/>
      <c r="E37" s="1940"/>
      <c r="F37" s="1941"/>
      <c r="G37" s="1946">
        <f>G35+H36</f>
        <v>47549600</v>
      </c>
      <c r="H37" s="1947"/>
      <c r="I37" s="709" t="s">
        <v>562</v>
      </c>
      <c r="J37" s="707">
        <f>IF(AND(基本入力!$C$57&gt;0,基本入力!$C$54=1),CHOOSE((基本入力!$E57)+1,係数!$C$12,係数!$D$12,係数!$E$12,係数!$F$12,係数!$G$12,係数!$H$12,係数!$I$12,係数!$J$12,係数!$K$12,係数!$L$12,係数!$M$12,係数!$N$12,係数!$O$12,係数!$P$12,係数!$Q$12,係数!$R$12,係数!$S$12,係数!$T$12,係数!$U$12,係数!$V$12,係数!$W$12,係数!$X$12,係数!$Y$12),0)*CHOOSE((基本入力!$C$7+1),(基本入力!$E$40+1),1)</f>
        <v>0</v>
      </c>
      <c r="K37" s="970">
        <f>IF(AND(基本入力!G57&gt;0,基本入力!$C$54=1),CHOOSE((基本入力!$I57)+1,係数!$C$12,係数!$D$12,係数!$E$12,係数!$F$12,係数!$G$12,係数!$H$12,係数!$I$12,係数!$J$12,係数!$K$12,係数!$L$12,係数!$M$12,係数!$N$12,係数!$O$12,係数!$P$12,係数!$Q$12,係数!$R$12,係数!$S$12,係数!$T$12,係数!$U$12,係数!$V$12,係数!$W$12,係数!$X$12,係数!$Y$12),0)*CHOOSE((基本入力!$C$7+1),(基本入力!$I$40+1),1)</f>
        <v>0</v>
      </c>
      <c r="L37" s="970">
        <f>IF(AND(基本入力!J57&gt;0,基本入力!$C$54=1),CHOOSE((基本入力!$L57)+1,係数!$C$12,係数!$D$12,係数!$E$12,係数!$F$12,係数!$G$12,係数!$H$12,係数!$I$12,係数!$J$12,係数!$K$12,係数!$L$12,係数!$M$12,係数!$N$12,係数!$O$12,係数!$P$12,係数!$Q$12,係数!$R$12,係数!$S$12,係数!$T$12,係数!$U$12,係数!$V$12,係数!$W$12,係数!$X$12,係数!$Y$12),0)*CHOOSE((基本入力!$C$7+1),(基本入力!$I$40+1),1)</f>
        <v>0</v>
      </c>
      <c r="M37" s="970">
        <f>IF(AND(基本入力!M57&gt;0,基本入力!$C$54=1),CHOOSE((基本入力!$O57)+1,係数!$C$12,係数!$D$12,係数!$E$12,係数!$F$12,係数!$G$12,係数!$H$12,係数!$I$12,係数!$J$12,係数!$K$12,係数!$L$12,係数!$M$12,係数!$N$12,係数!$O$12,係数!$P$12,係数!$Q$12,係数!$R$12,係数!$S$12,係数!$T$12,係数!$U$12,係数!$V$12,係数!$W$12,係数!$X$12,係数!$Y$12),0)*CHOOSE((基本入力!$C$7+1),(基本入力!$I$40+1),1)</f>
        <v>0</v>
      </c>
      <c r="N37" s="970">
        <f>IF(AND(基本入力!P57&gt;0,基本入力!$C$54=1),CHOOSE((基本入力!$R57)+1,係数!$C$12,係数!$D$12,係数!$E$12,係数!$F$12,係数!$G$12,係数!$H$12,係数!$I$12,係数!$J$12,係数!$K$12,係数!$L$12,係数!$M$12,係数!$N$12,係数!$O$12,係数!$P$12,係数!$Q$12,係数!$R$12,係数!$S$12,係数!$T$12,係数!$U$12,係数!$V$12,係数!$W$12,係数!$X$12,係数!$Y$12),0)*CHOOSE((基本入力!$C$7+1),(基本入力!$I$40+1),1)</f>
        <v>0</v>
      </c>
      <c r="O37" s="970">
        <f>IF(AND(基本入力!S57&gt;0,基本入力!$C$54=1),CHOOSE((基本入力!$U57)+1,係数!$C$12,係数!$D$12,係数!$E$12,係数!$F$12,係数!$G$12,係数!$H$12,係数!$I$12,係数!$J$12,係数!$K$12,係数!$L$12,係数!$M$12,係数!$N$12,係数!$O$12,係数!$P$12,係数!$Q$12,係数!$R$12,係数!$S$12,係数!$T$12,係数!$U$12,係数!$V$12,係数!$W$12,係数!$X$12,係数!$Y$12),0)*CHOOSE((基本入力!$C$7+1),(基本入力!$I$40+1),1)</f>
        <v>0</v>
      </c>
      <c r="P37" s="970">
        <f>IF(AND(基本入力!V57&gt;0,基本入力!$C$54=1),CHOOSE((基本入力!$X57)+1,係数!$C$12,係数!$D$12,係数!$E$12,係数!$F$12,係数!$G$12,係数!$H$12,係数!$I$12,係数!$J$12,係数!$K$12,係数!$L$12,係数!$M$12,係数!$N$12,係数!$O$12,係数!$P$12,係数!$Q$12,係数!$R$12,係数!$S$12,係数!$T$12,係数!$U$12,係数!$V$12,係数!$W$12,係数!$X$12,係数!$Y$12),0)*CHOOSE((基本入力!$C$7+1),(基本入力!$I$40+1),1)</f>
        <v>0</v>
      </c>
      <c r="Q37" s="970">
        <f>IF(AND(基本入力!Y57&gt;0,基本入力!$C$54=1),CHOOSE((基本入力!$AA57)+1,係数!$C$12,係数!$D$12,係数!$E$12,係数!$F$12,係数!$G$12,係数!$H$12,係数!$I$12,係数!$J$12,係数!$K$12,係数!$L$12,係数!$M$12,係数!$N$12,係数!$O$12,係数!$P$12,係数!$Q$12,係数!$R$12,係数!$S$12,係数!$T$12,係数!$U$12,係数!$V$12,係数!$W$12,係数!$X$12,係数!$Y$12),0)*CHOOSE((基本入力!$C$7+1),(基本入力!$I$40+1),1)</f>
        <v>0</v>
      </c>
      <c r="R37" s="970">
        <f>IF(AND(基本入力!AB57&gt;0,基本入力!$C$54=1),CHOOSE((基本入力!$AD57)+1,係数!$C$12,係数!$D$12,係数!$E$12,係数!$F$12,係数!$G$12,係数!$H$12,係数!$I$12,係数!$J$12,係数!$K$12,係数!$L$12,係数!$M$12,係数!$N$12,係数!$O$12,係数!$P$12,係数!$Q$12,係数!$R$12,係数!$S$12,係数!$T$12,係数!$U$12,係数!$V$12,係数!$W$12,係数!$X$12,係数!$Y$12),0)*CHOOSE((基本入力!$C$7+1),(基本入力!$I$40+1),1)</f>
        <v>0</v>
      </c>
      <c r="S37" s="707">
        <f>SUM(J37:R37)</f>
        <v>0</v>
      </c>
      <c r="T37" s="708">
        <f>J37*(基本入力!$C$57-基本入力!$G$57-基本入力!$J$57-基本入力!$M$57-基本入力!$P$57-基本入力!$S$57-基本入力!$V$57-基本入力!$Y$57-基本入力!$AB$57)</f>
        <v>0</v>
      </c>
      <c r="U37" s="708">
        <f>K37*基本入力!$G$57</f>
        <v>0</v>
      </c>
      <c r="V37" s="708">
        <f>L37*基本入力!J57</f>
        <v>0</v>
      </c>
      <c r="W37" s="708">
        <f>M37*基本入力!M57</f>
        <v>0</v>
      </c>
      <c r="X37" s="708">
        <f>N37*基本入力!P57</f>
        <v>0</v>
      </c>
      <c r="Y37" s="708">
        <f>O37*基本入力!S57</f>
        <v>0</v>
      </c>
      <c r="Z37" s="708">
        <f>P37*基本入力!V57</f>
        <v>0</v>
      </c>
      <c r="AA37" s="708">
        <f>Q37*基本入力!Y57</f>
        <v>0</v>
      </c>
      <c r="AB37" s="708">
        <f>R37*基本入力!AB57</f>
        <v>0</v>
      </c>
      <c r="AC37" s="862">
        <f>SUM(T37:AB37)</f>
        <v>0</v>
      </c>
      <c r="AD37" s="949"/>
    </row>
    <row r="38" spans="1:31" ht="21" customHeight="1" thickTop="1" thickBot="1">
      <c r="A38" s="1936" t="s">
        <v>714</v>
      </c>
      <c r="B38" s="1937"/>
      <c r="C38" s="1937"/>
      <c r="D38" s="1937"/>
      <c r="E38" s="1937"/>
      <c r="F38" s="1938"/>
      <c r="G38" s="1934">
        <f>IF(G18="",G37,G37+G18)</f>
        <v>47549600</v>
      </c>
      <c r="H38" s="1935"/>
      <c r="I38" s="710" t="s">
        <v>559</v>
      </c>
      <c r="J38" s="707">
        <f>IF(AND(基本入力!$C$56&gt;0,基本入力!$C$54=0),CHOOSE((基本入力!$E$56)+1,係数!$C$9,係数!$D$9,係数!E$9,係数!$F$9,係数!$G$9,係数!$H$9,係数!$I$9,係数!$J$9,係数!$K$9,係数!$L$9,係数!$M$9,係数!$N$9,係数!$O$9,係数!$P$9,係数!$Q$9,係数!$R$9,係数!$S$9,係数!$T$9,係数!$U$9,係数!$V$9,係数!$W$9,係数!$X$9,係数!$Y$9),0)*CHOOSE((基本入力!$C$7+1),(基本入力!$E$40+1),1)</f>
        <v>0</v>
      </c>
      <c r="K38" s="707">
        <f>IF(AND(基本入力!G56&gt;0,基本入力!$C$54=0),CHOOSE((基本入力!$I56)+1,係数!$C9,係数!$D9,係数!$E9,係数!$F9,係数!$G9,係数!$H9,係数!$I9,係数!$J9,係数!$K9,係数!$L9,係数!$M9,係数!$N9,係数!$O9,係数!$P9,係数!$Q9,係数!$R9,係数!$S9,係数!$T9,係数!$U9,係数!$V9,係数!$W9,係数!$X9,係数!$Y9),0)*CHOOSE((基本入力!$C$7)+1,(基本入力!$I$40+1),1)</f>
        <v>0</v>
      </c>
      <c r="L38" s="707">
        <f>IF(AND(基本入力!J56&gt;0,基本入力!$C$54=0),CHOOSE((基本入力!$L56)+1,係数!$C9,係数!$D9,係数!$E9,係数!$F9,係数!$G9,係数!$H9,係数!$I9,係数!$J9,係数!$K9,係数!$L9,係数!$M9,係数!$N9,係数!$O9,係数!$P9,係数!$Q9,係数!$R9,係数!$S9,係数!$T9,係数!$U9,係数!$V9,係数!$W9,係数!$X9,係数!$Y9),0)*CHOOSE((基本入力!$C$7)+1,(基本入力!$I$40+1),1)</f>
        <v>0</v>
      </c>
      <c r="M38" s="707">
        <f>IF(AND(基本入力!M56&gt;0,基本入力!$C$54=0),CHOOSE((基本入力!$O56)+1,係数!$C9,係数!$D9,係数!$E9,係数!$F9,係数!$G9,係数!$H9,係数!$I9,係数!$J9,係数!$K9,係数!$L9,係数!$M9,係数!$N9,係数!$O9,係数!$P9,係数!$Q9,係数!$R9,係数!$S9,係数!$T9,係数!$U9,係数!$V9,係数!$W9,係数!$X9,係数!$Y9),0)*CHOOSE((基本入力!$C$7)+1,(基本入力!$I$40+1),1)</f>
        <v>0</v>
      </c>
      <c r="N38" s="707">
        <f>IF(AND(基本入力!P56&gt;0,基本入力!$C$54=0),CHOOSE((基本入力!$R56)+1,係数!$C9,係数!$D9,係数!$E9,係数!$F9,係数!$G9,係数!$H9,係数!$I9,係数!$J9,係数!$K9,係数!$L9,係数!$M9,係数!$N9,係数!$O9,係数!$P9,係数!$Q9,係数!$R9,係数!$S9,係数!$T9,係数!$U9,係数!$V9,係数!$W9,係数!$X9,係数!$Y9),0)*CHOOSE((基本入力!$C$7)+1,(基本入力!$I$40+1),1)</f>
        <v>0</v>
      </c>
      <c r="O38" s="707">
        <f>IF(AND(基本入力!S56&gt;0,基本入力!$C$54=0),CHOOSE((基本入力!$U56)+1,係数!$C9,係数!$D9,係数!$E9,係数!$F9,係数!$G9,係数!$H9,係数!$I9,係数!$J9,係数!$K9,係数!$L9,係数!$M9,係数!$N9,係数!$O9,係数!$P9,係数!$Q9,係数!$R9,係数!$S9,係数!$T9,係数!$U9,係数!$V9,係数!$W9,係数!$X9,係数!$Y9),0)*CHOOSE((基本入力!$C$7)+1,(基本入力!$I$40+1),1)</f>
        <v>0</v>
      </c>
      <c r="P38" s="707">
        <f>IF(AND(基本入力!V56&gt;0,基本入力!$C$54=0),CHOOSE((基本入力!$X56)+1,係数!$C9,係数!$D9,係数!$E9,係数!$F9,係数!$G9,係数!$H9,係数!$I9,係数!$J9,係数!$K9,係数!$L9,係数!$M9,係数!$N9,係数!$O9,係数!$P9,係数!$Q9,係数!$R9,係数!$S9,係数!$T9,係数!$U9,係数!$V9,係数!$W9,係数!$X9,係数!$Y9),0)*CHOOSE((基本入力!$C$7)+1,(基本入力!$I$40+1),1)</f>
        <v>0</v>
      </c>
      <c r="Q38" s="707">
        <f>IF(AND(基本入力!Y56&gt;0,基本入力!$C$54=0),CHOOSE((基本入力!$AA56)+1,係数!$C9,係数!$D9,係数!$E9,係数!$F9,係数!$G9,係数!$H9,係数!$I9,係数!$J9,係数!$K9,係数!$L9,係数!$M9,係数!$N9,係数!$O9,係数!$P9,係数!$Q9,係数!$R9,係数!$S9,係数!$T9,係数!$U9,係数!$V9,係数!$W9,係数!$X9,係数!$Y9),0)*CHOOSE((基本入力!$C$7)+1,(基本入力!$I$40+1),1)</f>
        <v>0</v>
      </c>
      <c r="R38" s="707">
        <f>IF(AND(基本入力!AB56&gt;0,基本入力!$C$54=0),CHOOSE((基本入力!$AD56)+1,係数!$C9,係数!$D9,係数!$E9,係数!$F9,係数!$G9,係数!$H9,係数!$I9,係数!$J9,係数!$K9,係数!$L9,係数!$M9,係数!$N9,係数!$O9,係数!$P9,係数!$Q9,係数!$R9,係数!$S9,係数!$T9,係数!$U9,係数!$V9,係数!$W9,係数!$X9,係数!$Y9),0)*CHOOSE((基本入力!$C$7)+1,(基本入力!$I$40+1),1)</f>
        <v>0</v>
      </c>
      <c r="S38" s="707">
        <f>SUM(J38:R38)</f>
        <v>0</v>
      </c>
      <c r="T38" s="708">
        <f>J38*(基本入力!$C$56-基本入力!$G$56-基本入力!$J$56-基本入力!$M$56-基本入力!$P$56-基本入力!$S$56-基本入力!$V$56-基本入力!$Y$56-基本入力!$AB$56)</f>
        <v>0</v>
      </c>
      <c r="U38" s="708">
        <f>K38*基本入力!$G$56</f>
        <v>0</v>
      </c>
      <c r="V38" s="708">
        <f>L38*基本入力!J56</f>
        <v>0</v>
      </c>
      <c r="W38" s="708">
        <f>M38*基本入力!M56</f>
        <v>0</v>
      </c>
      <c r="X38" s="708">
        <f>N38*基本入力!P56</f>
        <v>0</v>
      </c>
      <c r="Y38" s="708">
        <f>O38*基本入力!S56</f>
        <v>0</v>
      </c>
      <c r="Z38" s="708">
        <f>P38*基本入力!V56</f>
        <v>0</v>
      </c>
      <c r="AA38" s="708">
        <f>Q38*基本入力!Y56</f>
        <v>0</v>
      </c>
      <c r="AB38" s="708">
        <f>R38*基本入力!AB56</f>
        <v>0</v>
      </c>
      <c r="AC38" s="862">
        <f>SUM(T38:AB38)</f>
        <v>0</v>
      </c>
      <c r="AD38" s="949"/>
    </row>
    <row r="39" spans="1:31" ht="21" customHeight="1">
      <c r="A39" s="1317"/>
      <c r="B39" s="1317"/>
      <c r="C39" s="1317"/>
      <c r="D39" s="1317"/>
      <c r="E39" s="1317"/>
      <c r="F39" s="1317"/>
      <c r="G39" s="953"/>
      <c r="H39" s="953"/>
      <c r="I39" s="710" t="s">
        <v>561</v>
      </c>
      <c r="J39" s="707">
        <f>IF(AND(基本入力!$C$57&gt;0,基本入力!$C$54=0),CHOOSE((基本入力!$E57)+1,係数!$C$11,係数!$D$11,係数!$E$11,係数!$F$11,係数!$G$11,係数!$H$11,係数!$I$11,係数!$J$11,係数!$K$11,係数!$L$11,係数!$M$11,係数!$N$11,係数!$O$11,係数!$P$11,係数!$Q$11,係数!$R$11,係数!$S$11,係数!$T$11,係数!$U$11,係数!$V$11,係数!$W$11,係数!$X$11,係数!$Y$11),0)*CHOOSE((基本入力!$C$7+1),(基本入力!$E$40+1),1)</f>
        <v>0</v>
      </c>
      <c r="K39" s="970">
        <f>IF(AND(基本入力!G57&gt;0,基本入力!$C$54=0),CHOOSE((基本入力!$I57)+1,係数!$C$11,係数!$D$11,係数!$E$11,係数!$F$11,係数!$G$11,係数!$H$11,係数!$I$11,係数!$J$11,係数!$K$11,係数!$L$11,係数!$M$11,係数!$N$11,係数!$O$11,係数!$P$11,係数!$Q$11,係数!$R$11,係数!$S$11,係数!$T$11,係数!$U$11,係数!$V$11,係数!$W$11,係数!$X$11,係数!$Y$11),0)*CHOOSE((基本入力!$C$7+1),(基本入力!$I$40+1),1)</f>
        <v>0</v>
      </c>
      <c r="L39" s="970">
        <f>IF(AND(基本入力!J57&gt;0,基本入力!$C$54=0),CHOOSE((基本入力!$L57)+1,係数!$C$11,係数!$D$11,係数!$E$11,係数!$F$11,係数!$G$11,係数!$H$11,係数!$I$11,係数!$J$11,係数!$K$11,係数!$L$11,係数!$M$11,係数!$N$11,係数!$O$11,係数!$P$11,係数!$Q$11,係数!$R$11,係数!$S$11,係数!$T$11,係数!$U$11,係数!$V$11,係数!$W$11,係数!$X$11,係数!$Y$11),0)*CHOOSE((基本入力!$C$7+1),(基本入力!$I$40+1),1)</f>
        <v>0</v>
      </c>
      <c r="M39" s="970">
        <f>IF(AND(基本入力!M57&gt;0,基本入力!$C$54=0),CHOOSE((基本入力!$O57)+1,係数!$C$11,係数!$D$11,係数!$E$11,係数!$F$11,係数!$G$11,係数!$H$11,係数!$I$11,係数!$J$11,係数!$K$11,係数!$L$11,係数!$M$11,係数!$N$11,係数!$O$11,係数!$P$11,係数!$Q$11,係数!$R$11,係数!$S$11,係数!$T$11,係数!$U$11,係数!$V$11,係数!$W$11,係数!$X$11,係数!$Y$11),0)*CHOOSE((基本入力!$C$7+1),(基本入力!$I$40+1),1)</f>
        <v>0</v>
      </c>
      <c r="N39" s="970">
        <f>IF(AND(基本入力!P57&gt;0,基本入力!$C$54=0),CHOOSE((基本入力!$R57)+1,係数!$C$11,係数!$D$11,係数!$E$11,係数!$F$11,係数!$G$11,係数!$H$11,係数!$I$11,係数!$J$11,係数!$K$11,係数!$L$11,係数!$M$11,係数!$N$11,係数!$O$11,係数!$P$11,係数!$Q$11,係数!$R$11,係数!$S$11,係数!$T$11,係数!$U$11,係数!$V$11,係数!$W$11,係数!$X$11,係数!$Y$11),0)*CHOOSE((基本入力!$C$7+1),(基本入力!$I$40+1),1)</f>
        <v>0</v>
      </c>
      <c r="O39" s="970">
        <f>IF(AND(基本入力!S57&gt;0,基本入力!$C$54=0),CHOOSE((基本入力!$U57)+1,係数!$C$11,係数!$D$11,係数!$E$11,係数!$F$11,係数!$G$11,係数!$H$11,係数!$I$11,係数!$J$11,係数!$K$11,係数!$L$11,係数!$M$11,係数!$N$11,係数!$O$11,係数!$P$11,係数!$Q$11,係数!$R$11,係数!$S$11,係数!$T$11,係数!$U$11,係数!$V$11,係数!$W$11,係数!$X$11,係数!$Y$11),0)*CHOOSE((基本入力!$C$7+1),(基本入力!$I$40+1),1)</f>
        <v>0</v>
      </c>
      <c r="P39" s="970">
        <f>IF(AND(基本入力!V57&gt;0,基本入力!$C$54=0),CHOOSE((基本入力!$X57)+1,係数!$C$11,係数!$D$11,係数!$E$11,係数!$F$11,係数!$G$11,係数!$H$11,係数!$I$11,係数!$J$11,係数!$K$11,係数!$L$11,係数!$M$11,係数!$N$11,係数!$O$11,係数!$P$11,係数!$Q$11,係数!$R$11,係数!$S$11,係数!$T$11,係数!$U$11,係数!$V$11,係数!$W$11,係数!$X$11,係数!$Y$11),0)*CHOOSE((基本入力!$C$7+1),(基本入力!$I$40+1),1)</f>
        <v>0</v>
      </c>
      <c r="Q39" s="970">
        <f>IF(AND(基本入力!Y57&gt;0,基本入力!$C$54=0),CHOOSE((基本入力!$AA57)+1,係数!$C$11,係数!$D$11,係数!$E$11,係数!$F$11,係数!$G$11,係数!$H$11,係数!$I$11,係数!$J$11,係数!$K$11,係数!$L$11,係数!$M$11,係数!$N$11,係数!$O$11,係数!$P$11,係数!$Q$11,係数!$R$11,係数!$S$11,係数!$T$11,係数!$U$11,係数!$V$11,係数!$W$11,係数!$X$11,係数!$Y$11),0)*CHOOSE((基本入力!$C$7+1),(基本入力!$I$40+1),1)</f>
        <v>0</v>
      </c>
      <c r="R39" s="970">
        <f>IF(AND(基本入力!AB57&gt;0,基本入力!$C$54=0),CHOOSE((基本入力!$AD57)+1,係数!$C$11,係数!$D$11,係数!$E$11,係数!$F$11,係数!$G$11,係数!$H$11,係数!$I$11,係数!$J$11,係数!$K$11,係数!$L$11,係数!$M$11,係数!$N$11,係数!$O$11,係数!$P$11,係数!$Q$11,係数!$R$11,係数!$S$11,係数!$T$11,係数!$U$11,係数!$V$11,係数!$W$11,係数!$X$11,係数!$Y$11),0)*CHOOSE((基本入力!$C$7+1),(基本入力!$I$40+1),1)</f>
        <v>0</v>
      </c>
      <c r="S39" s="707">
        <f>SUM(J39:R39)</f>
        <v>0</v>
      </c>
      <c r="T39" s="708">
        <f>J39*(基本入力!$C$57-基本入力!$G$57-基本入力!$J$57-基本入力!$M$57-基本入力!$P$57-基本入力!$S$57-基本入力!$V$57-基本入力!$Y$57-基本入力!$AB$57)</f>
        <v>0</v>
      </c>
      <c r="U39" s="708">
        <f>K39*基本入力!$G$57</f>
        <v>0</v>
      </c>
      <c r="V39" s="708">
        <f>L39*基本入力!J57</f>
        <v>0</v>
      </c>
      <c r="W39" s="708">
        <f>M39*基本入力!M57</f>
        <v>0</v>
      </c>
      <c r="X39" s="708">
        <f>N39*基本入力!P57</f>
        <v>0</v>
      </c>
      <c r="Y39" s="708">
        <f>O39*基本入力!S57</f>
        <v>0</v>
      </c>
      <c r="Z39" s="708">
        <f>P39*基本入力!V57</f>
        <v>0</v>
      </c>
      <c r="AA39" s="708">
        <f>Q39*基本入力!Y57</f>
        <v>0</v>
      </c>
      <c r="AB39" s="708">
        <f>R39*基本入力!AB57</f>
        <v>0</v>
      </c>
      <c r="AC39" s="862">
        <f>SUM(T39:AB39)</f>
        <v>0</v>
      </c>
      <c r="AD39" s="949"/>
    </row>
    <row r="40" spans="1:31" ht="21" customHeight="1">
      <c r="A40" s="1317"/>
      <c r="B40" s="1317"/>
      <c r="C40" s="1317"/>
      <c r="D40" s="1317" t="s">
        <v>180</v>
      </c>
      <c r="E40" s="1317" t="s">
        <v>181</v>
      </c>
      <c r="F40" s="953">
        <f>IF(AND(基本入力!E$37&lt;10,SUM(基本入力!C$13:C$16,基本入力!C$56:C$57)&gt;250),"",IF(AND(基本入力!E$37&gt;=10,SUM(基本入力!C$13:C$16,基本入力!C$56:C$57)&gt;=250),250,SUM(基本入力!C$13:C$16,基本入力!C$56:C$57)))</f>
        <v>245</v>
      </c>
      <c r="G40" s="953">
        <f>IF(基本入力!$C$37=1,IF(OR(F40=0,F40=""),"",IF(AND(F40&gt;0,基本入力!$E$37&lt;10),IF(基本入力!$E$37=0,係数!C29,係数!D29),CHOOSE((基本入力!$E$37-10)+1,係数!E29,係数!F29,係数!G29,係数!H29,係数!I29,係数!J29,係数!K29,係数!L29,係数!M29,係数!N29,係数!O29,係数!P29,係数!Q29))*(IF(基本入力!$C$7=0,基本入力!$E$40+1,1))),0)</f>
        <v>8910</v>
      </c>
      <c r="H40" s="708">
        <f>IF(OR(F40=0,F40="",G40=0,G40=""),0,+F40*G40)</f>
        <v>2182950</v>
      </c>
      <c r="I40" s="949" t="s">
        <v>1165</v>
      </c>
      <c r="J40" s="949"/>
      <c r="K40" s="949"/>
      <c r="L40" s="949"/>
      <c r="M40" s="949"/>
      <c r="N40" s="949"/>
      <c r="O40" s="949"/>
      <c r="P40" s="949"/>
      <c r="Q40" s="949"/>
      <c r="R40" s="949"/>
      <c r="S40" s="949"/>
      <c r="T40" s="949"/>
      <c r="U40" s="949"/>
      <c r="V40" s="949"/>
      <c r="W40" s="949"/>
      <c r="X40" s="949"/>
      <c r="Y40" s="949"/>
      <c r="Z40" s="949"/>
      <c r="AA40" s="949"/>
      <c r="AB40" s="949"/>
      <c r="AC40" s="862">
        <f>SUM(AC36:AC39)</f>
        <v>0</v>
      </c>
      <c r="AD40" s="862">
        <f>AD31+AC40</f>
        <v>30301600</v>
      </c>
      <c r="AE40" s="1269"/>
    </row>
    <row r="41" spans="1:31" ht="21" customHeight="1">
      <c r="A41" s="1317"/>
      <c r="B41" s="1317"/>
      <c r="C41" s="1317"/>
      <c r="D41" s="1317"/>
      <c r="E41" s="1317" t="s">
        <v>182</v>
      </c>
      <c r="F41" s="953" t="str">
        <f>IF(AND(基本入力!E$37&lt;10,SUM(基本入力!C$13:C$16,基本入力!C$56:C$57)&gt;1000),"",IF(AND(基本入力!E$37&gt;=10,SUM(基本入力!C$13:C$16,基本入力!C$56:C$57)&gt;=1000),750,IF(SUM(基本入力!C$13:C$16,基本入力!C$56:C$57)-SUM(F40)=0,"",SUM(基本入力!C$13:C$16,基本入力!C$56:C$57)-SUM(F40))))</f>
        <v/>
      </c>
      <c r="G41" s="953" t="str">
        <f>IF(基本入力!$C$37=1,IF(OR(F41=0,F41=""),"",IF(AND(F41&gt;0,基本入力!$E$37&lt;10),IF(基本入力!$E$37=0,係数!C30,係数!D30),CHOOSE((基本入力!$E$37-10)+1,係数!E30,係数!F30,係数!G30,係数!H30,係数!I30,係数!J30,係数!K30,係数!L30,係数!M30,係数!N30,係数!O30,係数!P30,係数!Q30))*(IF(基本入力!$C$7=0,基本入力!$E$40+1,1))),0)</f>
        <v/>
      </c>
      <c r="H41" s="708">
        <f t="shared" ref="H41:H47" si="5">IF(F41="",0,+F41*G41)</f>
        <v>0</v>
      </c>
      <c r="I41" s="949" t="s">
        <v>29</v>
      </c>
      <c r="J41" s="949"/>
      <c r="K41" s="949"/>
      <c r="L41" s="949"/>
      <c r="M41" s="949"/>
      <c r="N41" s="949"/>
      <c r="O41" s="949"/>
      <c r="P41" s="949"/>
      <c r="Q41" s="949"/>
      <c r="R41" s="949"/>
      <c r="S41" s="949"/>
      <c r="T41" s="949"/>
      <c r="U41" s="949"/>
      <c r="V41" s="949"/>
      <c r="W41" s="949"/>
      <c r="X41" s="949"/>
      <c r="Y41" s="949"/>
      <c r="Z41" s="949"/>
      <c r="AA41" s="949"/>
      <c r="AB41" s="949"/>
      <c r="AC41" s="862"/>
      <c r="AD41" s="1319">
        <f>AC26+AD40</f>
        <v>32913300</v>
      </c>
    </row>
    <row r="42" spans="1:31" ht="21" customHeight="1">
      <c r="A42" s="1317"/>
      <c r="B42" s="1317"/>
      <c r="C42" s="1317"/>
      <c r="D42" s="1317"/>
      <c r="E42" s="1317" t="s">
        <v>183</v>
      </c>
      <c r="F42" s="953" t="str">
        <f>IF(AND(基本入力!E$37&lt;10,SUM(基本入力!C$13:C$16,基本入力!C$56:C$57)&gt;2000),"",IF(AND(基本入力!E$37&gt;=10,SUM(基本入力!C$13:C$16,基本入力!C$56:C$57)&gt;=2000),1000,IF(SUM(基本入力!C$13:C$16,基本入力!C$56:C$57)-SUM(F40:F41)=0,"",SUM(基本入力!C$13:C$16,基本入力!C$56:C$57)-SUM(F40:F41))))</f>
        <v/>
      </c>
      <c r="G42" s="953" t="str">
        <f>IF(基本入力!$C$37=1,IF(OR(F42=0,F42=""),"",IF(AND(F42&gt;0,基本入力!$E$37&lt;10),IF(基本入力!$E$37=0,係数!C31,係数!D31),CHOOSE((基本入力!$E$37-10)+1,係数!E31,係数!F31,係数!G31,係数!H31,係数!I31,係数!J31,係数!K31,係数!L31,係数!M31,係数!N31,係数!O31,係数!P31,係数!Q31))*(IF(基本入力!$C$7=0,基本入力!$E$40+1,1))),0)</f>
        <v/>
      </c>
      <c r="H42" s="708">
        <f t="shared" si="5"/>
        <v>0</v>
      </c>
      <c r="I42" s="950" t="s">
        <v>559</v>
      </c>
      <c r="J42" s="707">
        <f>IF(基本入力!E13&gt;=11,J28,0)</f>
        <v>0</v>
      </c>
      <c r="K42" s="707">
        <f>IF(基本入力!I13&gt;=11,K28,0)</f>
        <v>0</v>
      </c>
      <c r="L42" s="707">
        <f>IF(基本入力!L13&gt;=11,L28,0)</f>
        <v>0</v>
      </c>
      <c r="M42" s="707">
        <f>IF(基本入力!O13&gt;=11,M28,0)</f>
        <v>0</v>
      </c>
      <c r="N42" s="707">
        <f>IF(基本入力!R13&gt;=11,N28,0)</f>
        <v>0</v>
      </c>
      <c r="O42" s="707">
        <f>IF(基本入力!U13&gt;=11,O28,0)</f>
        <v>0</v>
      </c>
      <c r="P42" s="707">
        <f>IF(基本入力!X13&gt;=11,P28,0)</f>
        <v>0</v>
      </c>
      <c r="Q42" s="707">
        <f>IF(基本入力!AA13&gt;=11,Q28,0)</f>
        <v>0</v>
      </c>
      <c r="R42" s="707">
        <f>IF(基本入力!AD13&gt;=11,R28,0)*CHOOSE((基本入力!$C$7+1),(基本入力!$AD$40+1),1)</f>
        <v>0</v>
      </c>
      <c r="S42" s="707">
        <f>SUM(J42:R42)</f>
        <v>0</v>
      </c>
      <c r="T42" s="970">
        <f>J42*(基本入力!$C$13-基本入力!$G$13-基本入力!$J$13-基本入力!$M$13-基本入力!$P$13-基本入力!$S$13-基本入力!$V$13-基本入力!$Y$13-基本入力!$AB$13)</f>
        <v>0</v>
      </c>
      <c r="U42" s="970">
        <f>K42*基本入力!$G$13</f>
        <v>0</v>
      </c>
      <c r="V42" s="970">
        <f>L42*基本入力!J13</f>
        <v>0</v>
      </c>
      <c r="W42" s="970">
        <f>M42*基本入力!M13</f>
        <v>0</v>
      </c>
      <c r="X42" s="970">
        <f>N42*基本入力!P13</f>
        <v>0</v>
      </c>
      <c r="Y42" s="970">
        <f>O42*基本入力!S13</f>
        <v>0</v>
      </c>
      <c r="Z42" s="970">
        <f>P42*基本入力!V13</f>
        <v>0</v>
      </c>
      <c r="AA42" s="970">
        <f>Q42*基本入力!Y13</f>
        <v>0</v>
      </c>
      <c r="AB42" s="970">
        <f>R42*基本入力!AB13</f>
        <v>0</v>
      </c>
      <c r="AC42" s="862">
        <f>SUM(T42:AB42)</f>
        <v>0</v>
      </c>
      <c r="AD42" s="949"/>
    </row>
    <row r="43" spans="1:31" ht="21" customHeight="1">
      <c r="A43" s="1317"/>
      <c r="B43" s="1317"/>
      <c r="C43" s="1317"/>
      <c r="D43" s="1317"/>
      <c r="E43" s="1317" t="s">
        <v>184</v>
      </c>
      <c r="F43" s="953" t="str">
        <f>IF(AND(基本入力!E$37&lt;10,SUM(基本入力!C$13:C$16,基本入力!C$56:C$57)&gt;3000),"",IF(AND(基本入力!E$37&gt;=10,SUM(基本入力!C$13:C$16,基本入力!C$56:C$57)&gt;=3000),1000,IF(SUM(基本入力!C$13:C$16,基本入力!C$56:C$57)-SUM(F40:F42)=0,"",SUM(基本入力!C$13:C$16,基本入力!C$56:C$57)-SUM(F40:F42))))</f>
        <v/>
      </c>
      <c r="G43" s="953" t="str">
        <f>IF(基本入力!$C$37=1,IF(OR(F43=0,F43=""),"",IF(AND(F43&gt;0,基本入力!$E$37&lt;10),IF(基本入力!$E$37=0,係数!C32,係数!D32),CHOOSE((基本入力!$E$37-10)+1,係数!E32,係数!F32,係数!G32,係数!H32,係数!I32,係数!J32,係数!K32,係数!L32,係数!M32,係数!N32,係数!O32,係数!P32,係数!Q32))*(IF(基本入力!$C$7=0,基本入力!$E$40+1,1))),0)</f>
        <v/>
      </c>
      <c r="H43" s="708">
        <f>IF(F43="",0,+F43*G43)</f>
        <v>0</v>
      </c>
      <c r="I43" s="950" t="s">
        <v>560</v>
      </c>
      <c r="J43" s="707">
        <f>IF(基本入力!E14&gt;=11,J29,0)</f>
        <v>0</v>
      </c>
      <c r="K43" s="707">
        <f>IF(基本入力!I14&gt;=11,K29,0)</f>
        <v>0</v>
      </c>
      <c r="L43" s="707">
        <f>IF(基本入力!L14&gt;=11,L29,0)</f>
        <v>0</v>
      </c>
      <c r="M43" s="707">
        <f>IF(基本入力!O14&gt;=11,M29,0)</f>
        <v>0</v>
      </c>
      <c r="N43" s="707">
        <f>IF(基本入力!R14&gt;=11,N29,0)</f>
        <v>0</v>
      </c>
      <c r="O43" s="707">
        <f>IF(基本入力!U14&gt;=11,O29,0)</f>
        <v>0</v>
      </c>
      <c r="P43" s="707">
        <f>IF(基本入力!X14&gt;=11,P29,0)</f>
        <v>0</v>
      </c>
      <c r="Q43" s="707">
        <f>IF(基本入力!AA14&gt;=11,Q29,0)</f>
        <v>0</v>
      </c>
      <c r="R43" s="707">
        <f>IF(基本入力!AD14&gt;=11,R29,0)*CHOOSE((基本入力!$C$7+1),(基本入力!$AD$40+1),1)</f>
        <v>0</v>
      </c>
      <c r="S43" s="707">
        <f>SUM(J43:R43)</f>
        <v>0</v>
      </c>
      <c r="T43" s="970">
        <f>J43*(基本入力!$C$14-基本入力!$G$14-基本入力!$J$14-基本入力!$M$14-基本入力!$P$14-基本入力!$S$14-基本入力!$V$14-基本入力!$Y$14-基本入力!$AB$14)</f>
        <v>0</v>
      </c>
      <c r="U43" s="970">
        <f>K43*基本入力!$G$14</f>
        <v>0</v>
      </c>
      <c r="V43" s="970">
        <f>L43*基本入力!J14</f>
        <v>0</v>
      </c>
      <c r="W43" s="970">
        <f>M43*基本入力!M14</f>
        <v>0</v>
      </c>
      <c r="X43" s="970">
        <f>N43*基本入力!P14</f>
        <v>0</v>
      </c>
      <c r="Y43" s="970">
        <f>O43*基本入力!S14</f>
        <v>0</v>
      </c>
      <c r="Z43" s="970">
        <f>P43*基本入力!V14</f>
        <v>0</v>
      </c>
      <c r="AA43" s="970">
        <f>Q43*基本入力!Y14</f>
        <v>0</v>
      </c>
      <c r="AB43" s="970">
        <f>R43*基本入力!AB14</f>
        <v>0</v>
      </c>
      <c r="AC43" s="862">
        <f t="shared" ref="AC43:AC50" si="6">SUM(T43:AB43)</f>
        <v>0</v>
      </c>
      <c r="AD43" s="949"/>
    </row>
    <row r="44" spans="1:31" ht="21" customHeight="1">
      <c r="A44" s="1317"/>
      <c r="B44" s="1317"/>
      <c r="C44" s="1317"/>
      <c r="D44" s="1317"/>
      <c r="E44" s="1317" t="s">
        <v>185</v>
      </c>
      <c r="F44" s="953" t="str">
        <f>IF(AND(基本入力!E$37&lt;10,SUM(基本入力!C$13:C$16,基本入力!C$56:C$57)&gt;4000),"",IF(AND(基本入力!E$37&gt;=10,SUM(基本入力!C$13:C$16,基本入力!C$56:C$57)&gt;=4000),1000,IF(SUM(基本入力!C$13:C$16,基本入力!C$56:C$57)-SUM(F40:F43)=0,"",SUM(基本入力!C$13:C$16,基本入力!C$56:C$57)-SUM(F40:F43))))</f>
        <v/>
      </c>
      <c r="G44" s="953" t="str">
        <f>IF(基本入力!$C$37=1,IF(OR(F44=0,F44=""),"",IF(AND(F44&gt;0,基本入力!$E$37&lt;10),IF(基本入力!$E$37=0,係数!C33,係数!D33),CHOOSE((基本入力!$E$37-10)+1,係数!E33,係数!F33,係数!G33,係数!H33,係数!I33,係数!J33,係数!K33,係数!L33,係数!M33,係数!N33,係数!O33,係数!P33,係数!Q33))*(IF(基本入力!$C$7=0,基本入力!$E$40+1,1))),0)</f>
        <v/>
      </c>
      <c r="H44" s="708">
        <f t="shared" si="5"/>
        <v>0</v>
      </c>
      <c r="I44" s="950" t="s">
        <v>561</v>
      </c>
      <c r="J44" s="707">
        <f>IF(基本入力!E15&gt;=11,J30,0)</f>
        <v>0</v>
      </c>
      <c r="K44" s="707">
        <f>IF(基本入力!I15&gt;=11,K30,0)</f>
        <v>0</v>
      </c>
      <c r="L44" s="707">
        <f>IF(基本入力!L15&gt;=11,L30,0)</f>
        <v>0</v>
      </c>
      <c r="M44" s="707">
        <f>IF(基本入力!O15&gt;=11,M30,0)</f>
        <v>0</v>
      </c>
      <c r="N44" s="707">
        <f>IF(基本入力!R15&gt;=11,N30,0)</f>
        <v>0</v>
      </c>
      <c r="O44" s="707">
        <f>IF(基本入力!U15&gt;=11,O30,0)</f>
        <v>0</v>
      </c>
      <c r="P44" s="707">
        <f>IF(基本入力!X15&gt;=11,P30,0)</f>
        <v>0</v>
      </c>
      <c r="Q44" s="707">
        <f>IF(基本入力!AA15&gt;=11,Q30,0)</f>
        <v>0</v>
      </c>
      <c r="R44" s="707">
        <f>IF(基本入力!AD15&gt;=11,R30,0)*CHOOSE((基本入力!$C$7+1),(基本入力!$AD$40+1),1)</f>
        <v>0</v>
      </c>
      <c r="S44" s="707">
        <f>SUM(J44:R44)</f>
        <v>0</v>
      </c>
      <c r="T44" s="970">
        <f>J44*(基本入力!$C$15-基本入力!$G$15-基本入力!$J$15-基本入力!$M$15-基本入力!$P$15-基本入力!$S$15-基本入力!$V$15-基本入力!$Y$15-基本入力!$AB$15)</f>
        <v>0</v>
      </c>
      <c r="U44" s="970">
        <f>K44*基本入力!$G$15</f>
        <v>0</v>
      </c>
      <c r="V44" s="970">
        <f>L44*基本入力!J15</f>
        <v>0</v>
      </c>
      <c r="W44" s="970">
        <f>M44*基本入力!M15</f>
        <v>0</v>
      </c>
      <c r="X44" s="970">
        <f>N44*基本入力!P15</f>
        <v>0</v>
      </c>
      <c r="Y44" s="970">
        <f>O44*基本入力!S15</f>
        <v>0</v>
      </c>
      <c r="Z44" s="970">
        <f>P44*基本入力!V15</f>
        <v>0</v>
      </c>
      <c r="AA44" s="970">
        <f>Q44*基本入力!Y15</f>
        <v>0</v>
      </c>
      <c r="AB44" s="970">
        <f>R44*基本入力!AB15</f>
        <v>0</v>
      </c>
      <c r="AC44" s="862">
        <f t="shared" si="6"/>
        <v>0</v>
      </c>
      <c r="AD44" s="949"/>
    </row>
    <row r="45" spans="1:31" ht="21" customHeight="1">
      <c r="A45" s="1317"/>
      <c r="B45" s="1317"/>
      <c r="C45" s="1317"/>
      <c r="D45" s="1317"/>
      <c r="E45" s="1317" t="s">
        <v>186</v>
      </c>
      <c r="F45" s="953" t="str">
        <f>IF(AND(基本入力!E$37&lt;10,SUM(基本入力!C$13:C$16,基本入力!C$56:C$57)&gt;5000),"",IF(AND(基本入力!E$37&gt;=10,SUM(基本入力!C$13:C$16,基本入力!C$56:C$57)&gt;=5000),1000,IF(SUM(基本入力!C$13:C$16,基本入力!C$56:C$57)-SUM(F40:F44)=0,"",SUM(基本入力!C$13:C$16,基本入力!C$56:C$57)-SUM(F40:F44))))</f>
        <v/>
      </c>
      <c r="G45" s="953" t="str">
        <f>IF(基本入力!$C$37=1,IF(OR(F45=0,F45=""),"",IF(AND(F45&gt;0,基本入力!$E$37&lt;10),IF(基本入力!$E$37=0,係数!C34,係数!D34),CHOOSE((基本入力!$E$37-10)+1,係数!E34,係数!F34,係数!G34,係数!H34,係数!I34,係数!J34,係数!K34,係数!L34,係数!M34,係数!N34,係数!O34,係数!P34,係数!Q34))*(IF(基本入力!$C$7=0,基本入力!$E$40+1,1))),0)</f>
        <v/>
      </c>
      <c r="H45" s="708">
        <f t="shared" si="5"/>
        <v>0</v>
      </c>
      <c r="I45" s="950" t="s">
        <v>562</v>
      </c>
      <c r="J45" s="707">
        <f>IF(基本入力!E16&gt;=11,J31,0)</f>
        <v>123680</v>
      </c>
      <c r="K45" s="707">
        <f>IF(基本入力!I16&gt;=11,K31,0)</f>
        <v>0</v>
      </c>
      <c r="L45" s="707">
        <f>IF(基本入力!L16&gt;=11,L31,0)</f>
        <v>0</v>
      </c>
      <c r="M45" s="707">
        <f>IF(基本入力!O16&gt;=11,M31,0)</f>
        <v>0</v>
      </c>
      <c r="N45" s="707">
        <f>IF(基本入力!R16&gt;=11,N31,0)</f>
        <v>0</v>
      </c>
      <c r="O45" s="707">
        <f>IF(基本入力!U16&gt;=11,O31,0)</f>
        <v>0</v>
      </c>
      <c r="P45" s="707">
        <f>IF(基本入力!X16&gt;=11,P31,0)</f>
        <v>0</v>
      </c>
      <c r="Q45" s="707">
        <f>IF(基本入力!AA16&gt;=11,Q31,0)</f>
        <v>0</v>
      </c>
      <c r="R45" s="707">
        <f>IF(基本入力!AD16&gt;=11,R31,0)*CHOOSE((基本入力!$C$7+1),(基本入力!$AD$40+1),1)</f>
        <v>0</v>
      </c>
      <c r="S45" s="707">
        <f>SUM(J45:R45)</f>
        <v>123680</v>
      </c>
      <c r="T45" s="970">
        <f>J45*(基本入力!$C$16-基本入力!$G$16-基本入力!$J$16-基本入力!$M$16-基本入力!$P$16-基本入力!$S$16-基本入力!$V$16-基本入力!$Y$16-基本入力!$AB$16)</f>
        <v>30301600</v>
      </c>
      <c r="U45" s="970">
        <f>K45*基本入力!$G$16</f>
        <v>0</v>
      </c>
      <c r="V45" s="970">
        <f>L45*基本入力!J16</f>
        <v>0</v>
      </c>
      <c r="W45" s="970">
        <f>M45*基本入力!M16</f>
        <v>0</v>
      </c>
      <c r="X45" s="970">
        <f>N45*基本入力!P16</f>
        <v>0</v>
      </c>
      <c r="Y45" s="970">
        <f>O45*基本入力!S16</f>
        <v>0</v>
      </c>
      <c r="Z45" s="970">
        <f>P45*基本入力!V16</f>
        <v>0</v>
      </c>
      <c r="AA45" s="970">
        <f>Q45*基本入力!Y16</f>
        <v>0</v>
      </c>
      <c r="AB45" s="970">
        <f>R45*基本入力!AB16</f>
        <v>0</v>
      </c>
      <c r="AC45" s="862">
        <f t="shared" si="6"/>
        <v>30301600</v>
      </c>
      <c r="AD45" s="949"/>
    </row>
    <row r="46" spans="1:31" ht="21" customHeight="1">
      <c r="A46" s="1317"/>
      <c r="B46" s="1317"/>
      <c r="C46" s="1317"/>
      <c r="D46" s="1317"/>
      <c r="E46" s="1317" t="s">
        <v>187</v>
      </c>
      <c r="F46" s="953" t="str">
        <f>IF(AND(基本入力!E$37&lt;10,SUM(基本入力!C$13:C$16,基本入力!C$56:C$57)&gt;6000),"",IF(AND(基本入力!E$37&gt;=10,SUM(基本入力!C$13:C$16,基本入力!C$56:C$57)&gt;=6000),1000,IF(SUM(基本入力!C$13:C$16,基本入力!C$56:C$57)-SUM(F40:F45)=0,"",SUM(基本入力!C$13:C$16,基本入力!C$56:C$57)-SUM(F40:F45))))</f>
        <v/>
      </c>
      <c r="G46" s="953" t="str">
        <f>IF(基本入力!$C$37=1,IF(OR(F46=0,F46=""),"",IF(AND(F46&gt;0,基本入力!$E$37&lt;10),IF(基本入力!$E$37=0,係数!C35,係数!D35),CHOOSE((基本入力!$E$37-10)+1,係数!E35,係数!F35,係数!G35,係数!H35,係数!I35,係数!J35,係数!K35,係数!L35,係数!M35,係数!N35,係数!O35,係数!P35,係数!Q35))*(IF(基本入力!$C$7=0,基本入力!$E$40+1,1))),0)</f>
        <v/>
      </c>
      <c r="H46" s="708">
        <f t="shared" si="5"/>
        <v>0</v>
      </c>
      <c r="I46" s="949" t="s">
        <v>30</v>
      </c>
      <c r="J46" s="949"/>
      <c r="K46" s="949"/>
      <c r="L46" s="949"/>
      <c r="M46" s="949"/>
      <c r="N46" s="949"/>
      <c r="O46" s="949"/>
      <c r="P46" s="949"/>
      <c r="Q46" s="949"/>
      <c r="R46" s="949"/>
      <c r="S46" s="949"/>
      <c r="T46" s="949"/>
      <c r="U46" s="949"/>
      <c r="V46" s="949"/>
      <c r="W46" s="949"/>
      <c r="X46" s="949"/>
      <c r="Y46" s="949"/>
      <c r="Z46" s="949"/>
      <c r="AA46" s="949"/>
      <c r="AB46" s="949"/>
      <c r="AC46" s="862">
        <f>SUM(AC42:AC45)</f>
        <v>30301600</v>
      </c>
      <c r="AD46" s="949"/>
    </row>
    <row r="47" spans="1:31" ht="21" customHeight="1">
      <c r="A47" s="1317"/>
      <c r="B47" s="1317"/>
      <c r="C47" s="1317"/>
      <c r="D47" s="1317"/>
      <c r="E47" s="1317" t="s">
        <v>188</v>
      </c>
      <c r="F47" s="953" t="str">
        <f>IF(SUM(基本入力!C$13:C$16,基本入力!C$56:C$57)&lt;6001,"",IF(基本入力!E$37&lt;10,SUM(基本入力!C$13:C$16,基本入力!C$56:C$57),IF(AND(基本入力!E$37&gt;=10,SUM(基本入力!C$13:C$16,基本入力!C$56:C$57)&gt;=6000),IF(SUM(基本入力!C$13:C$16,基本入力!C$56:C$57)-SUM(F40:F46)=0,"",SUM(基本入力!C$13:C$16,基本入力!C$56:C$57)-SUM(F40:F46)))))</f>
        <v/>
      </c>
      <c r="G47" s="953" t="str">
        <f>IF(基本入力!$C$37=1,IF(OR(F47=0,F47=""),"",IF(AND(F47&gt;0,基本入力!$E$37&lt;10),IF(基本入力!$E$37=0,係数!C36,係数!D36),CHOOSE((基本入力!$E$37-10)+1,係数!E36,係数!F36,係数!G36,係数!H36,係数!I36,係数!J36,係数!K36,係数!L36,係数!M36,係数!N36,係数!O36,係数!P36,係数!Q36))*(IF(基本入力!$C$7=0,基本入力!$E$40+1,1))),0)</f>
        <v/>
      </c>
      <c r="H47" s="708">
        <f t="shared" si="5"/>
        <v>0</v>
      </c>
      <c r="I47" s="709" t="s">
        <v>560</v>
      </c>
      <c r="J47" s="707">
        <f>IF(基本入力!E56&gt;=11,J36,0)</f>
        <v>0</v>
      </c>
      <c r="K47" s="707">
        <f>IF(基本入力!I56&gt;=11,K36,0)</f>
        <v>0</v>
      </c>
      <c r="L47" s="707">
        <f>IF(基本入力!L56&gt;=11,L36,0)</f>
        <v>0</v>
      </c>
      <c r="M47" s="707">
        <f>IF(基本入力!O56&gt;=11,M36,0)</f>
        <v>0</v>
      </c>
      <c r="N47" s="707">
        <f>IF(基本入力!R56&gt;=11,N36,0)</f>
        <v>0</v>
      </c>
      <c r="O47" s="707">
        <f>IF(基本入力!U56&gt;=11,O36,0)</f>
        <v>0</v>
      </c>
      <c r="P47" s="707">
        <f>IF(基本入力!X56&gt;=11,P36,0)</f>
        <v>0</v>
      </c>
      <c r="Q47" s="707">
        <f>IF(基本入力!AA56&gt;=11,Q36,0)</f>
        <v>0</v>
      </c>
      <c r="R47" s="707">
        <f>IF(基本入力!AD56&gt;=11,R36,0)</f>
        <v>0</v>
      </c>
      <c r="S47" s="707">
        <f>SUM(J47:R47)</f>
        <v>0</v>
      </c>
      <c r="T47" s="708">
        <f>J47*(基本入力!$C$56-基本入力!$G$56-基本入力!$J$56-基本入力!$M$56-基本入力!$P$56-基本入力!$S$56-基本入力!$V$56-基本入力!$Y$56-基本入力!$AB$56)</f>
        <v>0</v>
      </c>
      <c r="U47" s="708">
        <f>K47*基本入力!$G$56</f>
        <v>0</v>
      </c>
      <c r="V47" s="708">
        <f>L47*基本入力!J56</f>
        <v>0</v>
      </c>
      <c r="W47" s="708">
        <f>M47*基本入力!M56</f>
        <v>0</v>
      </c>
      <c r="X47" s="708">
        <f>N47*基本入力!P56</f>
        <v>0</v>
      </c>
      <c r="Y47" s="708">
        <f>O47*基本入力!S56</f>
        <v>0</v>
      </c>
      <c r="Z47" s="708">
        <f>P47*基本入力!V56</f>
        <v>0</v>
      </c>
      <c r="AA47" s="708">
        <f>Q47*基本入力!Y56</f>
        <v>0</v>
      </c>
      <c r="AB47" s="708">
        <f>R47*基本入力!AB56</f>
        <v>0</v>
      </c>
      <c r="AC47" s="862">
        <f t="shared" si="6"/>
        <v>0</v>
      </c>
      <c r="AD47" s="949"/>
    </row>
    <row r="48" spans="1:31" ht="21" customHeight="1">
      <c r="A48" s="949"/>
      <c r="B48" s="949"/>
      <c r="C48" s="949"/>
      <c r="D48" s="949"/>
      <c r="E48" s="949" t="s">
        <v>931</v>
      </c>
      <c r="F48" s="1318">
        <f>SUM(F40:F47)</f>
        <v>245</v>
      </c>
      <c r="G48" s="949"/>
      <c r="H48" s="862">
        <f>SUM(H40:H47)</f>
        <v>2182950</v>
      </c>
      <c r="I48" s="709" t="s">
        <v>562</v>
      </c>
      <c r="J48" s="707">
        <f>IF(基本入力!E57&gt;=11,J37,0)</f>
        <v>0</v>
      </c>
      <c r="K48" s="707">
        <f>IF(基本入力!I57&gt;=11,K37,0)</f>
        <v>0</v>
      </c>
      <c r="L48" s="707">
        <f>IF(基本入力!L57&gt;=11,L37,0)</f>
        <v>0</v>
      </c>
      <c r="M48" s="707">
        <f>IF(基本入力!O57&gt;=11,M37,0)</f>
        <v>0</v>
      </c>
      <c r="N48" s="707">
        <f>IF(基本入力!R57&gt;=11,N37,0)</f>
        <v>0</v>
      </c>
      <c r="O48" s="707">
        <f>IF(基本入力!U57&gt;=11,O37,0)</f>
        <v>0</v>
      </c>
      <c r="P48" s="707">
        <f>IF(基本入力!X57&gt;=11,P37,0)</f>
        <v>0</v>
      </c>
      <c r="Q48" s="707">
        <f>IF(基本入力!AA57&gt;=11,Q37,0)</f>
        <v>0</v>
      </c>
      <c r="R48" s="707">
        <f>IF(基本入力!AD57&gt;=11,R37,0)</f>
        <v>0</v>
      </c>
      <c r="S48" s="707">
        <f>SUM(J48:R48)</f>
        <v>0</v>
      </c>
      <c r="T48" s="708">
        <f>J48*(基本入力!$C$57-基本入力!$G$57-基本入力!$J$57-基本入力!$M$57-基本入力!$P$57-基本入力!$S$57-基本入力!$V$57-基本入力!$Y$57-基本入力!$AB$57)</f>
        <v>0</v>
      </c>
      <c r="U48" s="708">
        <f>K48*基本入力!$G$57</f>
        <v>0</v>
      </c>
      <c r="V48" s="708">
        <f>L48*基本入力!J57</f>
        <v>0</v>
      </c>
      <c r="W48" s="708">
        <f>M48*基本入力!M57</f>
        <v>0</v>
      </c>
      <c r="X48" s="708">
        <f>N48*基本入力!P57</f>
        <v>0</v>
      </c>
      <c r="Y48" s="708">
        <f>O48*基本入力!S57</f>
        <v>0</v>
      </c>
      <c r="Z48" s="708">
        <f>P48*基本入力!V57</f>
        <v>0</v>
      </c>
      <c r="AA48" s="708">
        <f>Q48*基本入力!Y57</f>
        <v>0</v>
      </c>
      <c r="AB48" s="708">
        <f>R48*基本入力!AB57</f>
        <v>0</v>
      </c>
      <c r="AC48" s="862">
        <f t="shared" si="6"/>
        <v>0</v>
      </c>
      <c r="AD48" s="949"/>
    </row>
    <row r="49" spans="1:30" ht="21" customHeight="1">
      <c r="A49" s="949"/>
      <c r="B49" s="949"/>
      <c r="C49" s="949"/>
      <c r="D49" s="949"/>
      <c r="E49" s="949"/>
      <c r="F49" s="949"/>
      <c r="G49" s="949"/>
      <c r="H49" s="949"/>
      <c r="I49" s="710" t="s">
        <v>559</v>
      </c>
      <c r="J49" s="707">
        <f>IF(基本入力!E56&gt;=11,J38,0)</f>
        <v>0</v>
      </c>
      <c r="K49" s="707">
        <f>IF(基本入力!I56&gt;=11,K38,0)</f>
        <v>0</v>
      </c>
      <c r="L49" s="707">
        <f>IF(基本入力!L56&gt;=11,L38,0)</f>
        <v>0</v>
      </c>
      <c r="M49" s="707">
        <f>IF(基本入力!O56&gt;=11,M38,0)</f>
        <v>0</v>
      </c>
      <c r="N49" s="707">
        <f>IF(基本入力!R56&gt;=11,N38,0)</f>
        <v>0</v>
      </c>
      <c r="O49" s="707">
        <f>IF(基本入力!U56&gt;=11,O38,0)</f>
        <v>0</v>
      </c>
      <c r="P49" s="707">
        <f>IF(基本入力!X56&gt;=11,P38,0)</f>
        <v>0</v>
      </c>
      <c r="Q49" s="707">
        <f>IF(基本入力!AA56&gt;=11,Q38,0)</f>
        <v>0</v>
      </c>
      <c r="R49" s="707">
        <f>IF(基本入力!AD56&gt;=11,R38,0)</f>
        <v>0</v>
      </c>
      <c r="S49" s="707">
        <f>SUM(J49:R49)</f>
        <v>0</v>
      </c>
      <c r="T49" s="708">
        <f>J49*(基本入力!$C$56-基本入力!$G$56-基本入力!$J$56-基本入力!$M$56-基本入力!$P$56-基本入力!$S$56-基本入力!$V$56-基本入力!$Y$56-基本入力!$AB$56)</f>
        <v>0</v>
      </c>
      <c r="U49" s="708">
        <f>K49*基本入力!$G$56</f>
        <v>0</v>
      </c>
      <c r="V49" s="708">
        <f>L49*基本入力!J56</f>
        <v>0</v>
      </c>
      <c r="W49" s="708">
        <f>M49*基本入力!M56</f>
        <v>0</v>
      </c>
      <c r="X49" s="708">
        <f>N49*基本入力!P56</f>
        <v>0</v>
      </c>
      <c r="Y49" s="708">
        <f>O49*基本入力!S56</f>
        <v>0</v>
      </c>
      <c r="Z49" s="708">
        <f>P49*基本入力!V56</f>
        <v>0</v>
      </c>
      <c r="AA49" s="708">
        <f>Q49*基本入力!Y56</f>
        <v>0</v>
      </c>
      <c r="AB49" s="708">
        <f>R49*基本入力!AB56</f>
        <v>0</v>
      </c>
      <c r="AC49" s="862">
        <f t="shared" si="6"/>
        <v>0</v>
      </c>
      <c r="AD49" s="949"/>
    </row>
    <row r="50" spans="1:30" ht="21" customHeight="1">
      <c r="A50" s="949"/>
      <c r="B50" s="949"/>
      <c r="C50" s="949"/>
      <c r="D50" s="949"/>
      <c r="E50" s="949"/>
      <c r="F50" s="949"/>
      <c r="G50" s="949"/>
      <c r="H50" s="949"/>
      <c r="I50" s="710" t="s">
        <v>561</v>
      </c>
      <c r="J50" s="707">
        <f>IF(基本入力!E57&gt;=11,J39,0)</f>
        <v>0</v>
      </c>
      <c r="K50" s="707">
        <f>IF(基本入力!I57&gt;=11,K39,0)</f>
        <v>0</v>
      </c>
      <c r="L50" s="707">
        <f>IF(基本入力!L57&gt;=11,L39,0)</f>
        <v>0</v>
      </c>
      <c r="M50" s="707">
        <f>IF(基本入力!O57&gt;=11,M39,0)</f>
        <v>0</v>
      </c>
      <c r="N50" s="707">
        <f>IF(基本入力!R57&gt;=11,N39,0)</f>
        <v>0</v>
      </c>
      <c r="O50" s="707">
        <f>IF(基本入力!U57&gt;=11,O39,0)</f>
        <v>0</v>
      </c>
      <c r="P50" s="707">
        <f>IF(基本入力!X57&gt;=11,P39,0)</f>
        <v>0</v>
      </c>
      <c r="Q50" s="707">
        <f>IF(基本入力!AA57&gt;=11,Q39,0)</f>
        <v>0</v>
      </c>
      <c r="R50" s="707">
        <f>IF(基本入力!AD57&gt;=11,R39,0)</f>
        <v>0</v>
      </c>
      <c r="S50" s="707">
        <f>SUM(J50:R50)</f>
        <v>0</v>
      </c>
      <c r="T50" s="708">
        <f>J50*(基本入力!$C$57-基本入力!$G$57-基本入力!$J$57-基本入力!$M$57-基本入力!$P$57-基本入力!$S$57-基本入力!$V$57-基本入力!$Y$57-基本入力!$AB$57)</f>
        <v>0</v>
      </c>
      <c r="U50" s="708">
        <f>K50*基本入力!$G$57</f>
        <v>0</v>
      </c>
      <c r="V50" s="708">
        <f>L50*基本入力!J57</f>
        <v>0</v>
      </c>
      <c r="W50" s="708">
        <f>M50*基本入力!M57</f>
        <v>0</v>
      </c>
      <c r="X50" s="708">
        <f>N50*基本入力!P57</f>
        <v>0</v>
      </c>
      <c r="Y50" s="708">
        <f>O50*基本入力!S57</f>
        <v>0</v>
      </c>
      <c r="Z50" s="708">
        <f>P50*基本入力!V57</f>
        <v>0</v>
      </c>
      <c r="AA50" s="708">
        <f>Q50*基本入力!Y57</f>
        <v>0</v>
      </c>
      <c r="AB50" s="708">
        <f>R50*基本入力!AB57</f>
        <v>0</v>
      </c>
      <c r="AC50" s="862">
        <f t="shared" si="6"/>
        <v>0</v>
      </c>
      <c r="AD50" s="949"/>
    </row>
    <row r="51" spans="1:30" ht="21" customHeight="1">
      <c r="A51" s="949"/>
      <c r="B51" s="949"/>
      <c r="C51" s="949"/>
      <c r="D51" s="949"/>
      <c r="E51" s="949"/>
      <c r="F51" s="949"/>
      <c r="G51" s="949"/>
      <c r="H51" s="949"/>
      <c r="I51" s="951" t="s">
        <v>31</v>
      </c>
      <c r="J51" s="707"/>
      <c r="K51" s="707"/>
      <c r="L51" s="707"/>
      <c r="M51" s="707"/>
      <c r="N51" s="707"/>
      <c r="O51" s="707"/>
      <c r="P51" s="707"/>
      <c r="Q51" s="707"/>
      <c r="R51" s="707"/>
      <c r="S51" s="707"/>
      <c r="T51" s="951"/>
      <c r="U51" s="951"/>
      <c r="V51" s="951"/>
      <c r="W51" s="951"/>
      <c r="X51" s="951"/>
      <c r="Y51" s="951"/>
      <c r="Z51" s="951"/>
      <c r="AA51" s="951"/>
      <c r="AB51" s="951"/>
      <c r="AC51" s="862">
        <f>SUM(AC47:AC50)</f>
        <v>0</v>
      </c>
      <c r="AD51" s="862">
        <f>AC46+AC51</f>
        <v>30301600</v>
      </c>
    </row>
    <row r="52" spans="1:30" ht="21" customHeight="1">
      <c r="A52" s="949"/>
      <c r="B52" s="949"/>
      <c r="C52" s="949"/>
      <c r="D52" s="949"/>
      <c r="E52" s="949"/>
      <c r="F52" s="949"/>
      <c r="G52" s="949"/>
      <c r="H52" s="949"/>
      <c r="I52" s="949" t="s">
        <v>17</v>
      </c>
      <c r="J52" s="707">
        <f>IF(AND(基本入力!E41=0,基本入力!E32&gt;=11),J26,0)</f>
        <v>10660</v>
      </c>
      <c r="K52" s="707">
        <f>IF(AND(基本入力!I41=0,基本入力!I32&gt;=11),K26,0)</f>
        <v>0</v>
      </c>
      <c r="L52" s="707">
        <f>IF(AND(基本入力!L41=0,基本入力!L32&gt;=11),L26,0)</f>
        <v>0</v>
      </c>
      <c r="M52" s="707">
        <f>IF(AND(基本入力!O41=0,基本入力!O32&gt;=11),M26,0)</f>
        <v>0</v>
      </c>
      <c r="N52" s="707">
        <f>IF(AND(基本入力!R41=0,基本入力!R32&gt;=11),N26,0)</f>
        <v>0</v>
      </c>
      <c r="O52" s="707">
        <f>IF(AND(基本入力!U41=0,基本入力!U32&gt;=11),O26,0)</f>
        <v>0</v>
      </c>
      <c r="P52" s="707">
        <f>IF(AND(基本入力!X41=0,基本入力!X32&gt;=11),P26,0)</f>
        <v>0</v>
      </c>
      <c r="Q52" s="707">
        <f>IF(AND(基本入力!AA41=0,基本入力!AA32&gt;=11),Q26,0)</f>
        <v>0</v>
      </c>
      <c r="R52" s="707">
        <f>IF(AND(基本入力!AD41=0,基本入力!AD32&gt;=11),R26,0)</f>
        <v>0</v>
      </c>
      <c r="S52" s="707">
        <f>SUM(J52:R52)</f>
        <v>10660</v>
      </c>
      <c r="T52" s="708">
        <f>J52*($F26-基本入力!G32-基本入力!J32-基本入力!M32-基本入力!P32-基本入力!S32-基本入力!V32-基本入力!Y32-基本入力!AB32)</f>
        <v>2611700</v>
      </c>
      <c r="U52" s="708">
        <f>K52*基本入力!G$32</f>
        <v>0</v>
      </c>
      <c r="V52" s="708">
        <f>L52*基本入力!J$32</f>
        <v>0</v>
      </c>
      <c r="W52" s="708">
        <f>M52*基本入力!M$32</f>
        <v>0</v>
      </c>
      <c r="X52" s="708">
        <f>N52*基本入力!P$32</f>
        <v>0</v>
      </c>
      <c r="Y52" s="708">
        <f>O52*基本入力!S$32</f>
        <v>0</v>
      </c>
      <c r="Z52" s="708">
        <f>P52*基本入力!V$32</f>
        <v>0</v>
      </c>
      <c r="AA52" s="708">
        <f>Q52*基本入力!Y$32</f>
        <v>0</v>
      </c>
      <c r="AB52" s="708">
        <f>R52*基本入力!AB$32</f>
        <v>0</v>
      </c>
      <c r="AC52" s="862">
        <f>SUM(T52:AB52)</f>
        <v>2611700</v>
      </c>
      <c r="AD52" s="1319">
        <f>AD51+AC52</f>
        <v>32913300</v>
      </c>
    </row>
    <row r="53" spans="1:30" ht="21" customHeight="1">
      <c r="A53" s="949"/>
      <c r="B53" s="949"/>
      <c r="C53" s="949"/>
      <c r="D53" s="949"/>
      <c r="E53" s="949"/>
      <c r="F53" s="949"/>
      <c r="G53" s="949"/>
      <c r="H53" s="949"/>
      <c r="I53" s="949" t="s">
        <v>18</v>
      </c>
      <c r="J53" s="707">
        <f>IF(AND(基本入力!E41=1,基本入力!E32&gt;=11),J26,0)</f>
        <v>0</v>
      </c>
      <c r="K53" s="707">
        <f>IF(AND(基本入力!I41=1,基本入力!I32&gt;=11),K26,0)</f>
        <v>0</v>
      </c>
      <c r="L53" s="707">
        <f>IF(AND(基本入力!L41=1,基本入力!L32&gt;=11),L26,0)</f>
        <v>0</v>
      </c>
      <c r="M53" s="707">
        <f>IF(AND(基本入力!O41=1,基本入力!O32&gt;=11),M26,0)</f>
        <v>0</v>
      </c>
      <c r="N53" s="707">
        <f>IF(AND(基本入力!R41=1,基本入力!R32&gt;=11),N26,0)</f>
        <v>0</v>
      </c>
      <c r="O53" s="707">
        <f>IF(AND(基本入力!U41=1,基本入力!U32&gt;=11),O26,0)</f>
        <v>0</v>
      </c>
      <c r="P53" s="707">
        <f>IF(AND(基本入力!X41=1,基本入力!X32&gt;=11),P26,0)</f>
        <v>0</v>
      </c>
      <c r="Q53" s="707">
        <f>IF(AND(基本入力!AA41=1,基本入力!AA32&gt;=11),Q26,0)</f>
        <v>0</v>
      </c>
      <c r="R53" s="707">
        <f>IF(AND(基本入力!AD41=1,基本入力!AD32&gt;=11),R26,0)</f>
        <v>0</v>
      </c>
      <c r="S53" s="707">
        <f>SUM(J53:R53)</f>
        <v>0</v>
      </c>
      <c r="T53" s="708">
        <f>J53*($F26-基本入力!G32-基本入力!J32-基本入力!M32-基本入力!P32-基本入力!S32-基本入力!V32-基本入力!Y32-基本入力!AB32)</f>
        <v>0</v>
      </c>
      <c r="U53" s="708">
        <f>K53*基本入力!G$32</f>
        <v>0</v>
      </c>
      <c r="V53" s="708">
        <f>L53*基本入力!J$32</f>
        <v>0</v>
      </c>
      <c r="W53" s="708">
        <f>M53*基本入力!M$32</f>
        <v>0</v>
      </c>
      <c r="X53" s="708">
        <f>N53*基本入力!P$32</f>
        <v>0</v>
      </c>
      <c r="Y53" s="708">
        <f>O53*基本入力!S$32</f>
        <v>0</v>
      </c>
      <c r="Z53" s="708">
        <f>P53*基本入力!V$32</f>
        <v>0</v>
      </c>
      <c r="AA53" s="708">
        <f>Q53*基本入力!Y$32</f>
        <v>0</v>
      </c>
      <c r="AB53" s="708">
        <f>R53*基本入力!AB$32</f>
        <v>0</v>
      </c>
      <c r="AC53" s="1320">
        <f>SUM(T53:AB53)</f>
        <v>0</v>
      </c>
      <c r="AD53" s="862">
        <f>AD52+AC53</f>
        <v>32913300</v>
      </c>
    </row>
    <row r="54" spans="1:30">
      <c r="A54" s="949"/>
      <c r="B54" s="949"/>
      <c r="C54" s="949"/>
      <c r="D54" s="949"/>
      <c r="E54" s="949"/>
      <c r="F54" s="949"/>
      <c r="G54" s="949"/>
      <c r="H54" s="949"/>
      <c r="I54" s="949"/>
      <c r="J54" s="949"/>
      <c r="K54" s="949"/>
      <c r="L54" s="949"/>
      <c r="M54" s="949"/>
      <c r="N54" s="949"/>
      <c r="O54" s="949"/>
      <c r="P54" s="949"/>
      <c r="Q54" s="949"/>
      <c r="R54" s="949"/>
      <c r="S54" s="949"/>
      <c r="T54" s="949"/>
      <c r="U54" s="949"/>
      <c r="V54" s="949"/>
      <c r="W54" s="949"/>
      <c r="X54" s="949"/>
      <c r="Y54" s="949"/>
      <c r="Z54" s="949"/>
      <c r="AA54" s="949"/>
      <c r="AB54" s="949"/>
      <c r="AC54" s="862">
        <f>AC52+AC53</f>
        <v>2611700</v>
      </c>
      <c r="AD54" s="862">
        <f>AD41-AD53</f>
        <v>0</v>
      </c>
    </row>
    <row r="55" spans="1:30">
      <c r="AC55" s="949"/>
      <c r="AD55" s="949"/>
    </row>
    <row r="56" spans="1:30">
      <c r="AC56" s="949"/>
      <c r="AD56" s="949"/>
    </row>
    <row r="57" spans="1:30">
      <c r="AC57" s="949"/>
      <c r="AD57" s="949"/>
    </row>
    <row r="58" spans="1:30">
      <c r="AC58" s="949"/>
      <c r="AD58" s="949"/>
    </row>
    <row r="59" spans="1:30">
      <c r="AC59" s="949"/>
      <c r="AD59" s="949"/>
    </row>
    <row r="60" spans="1:30">
      <c r="AC60" s="949"/>
      <c r="AD60" s="949"/>
    </row>
    <row r="61" spans="1:30">
      <c r="AC61" s="949"/>
      <c r="AD61" s="949"/>
    </row>
    <row r="62" spans="1:30">
      <c r="AC62" s="949"/>
      <c r="AD62" s="949"/>
    </row>
    <row r="63" spans="1:30">
      <c r="AC63" s="949"/>
      <c r="AD63" s="949"/>
    </row>
    <row r="64" spans="1:30">
      <c r="AC64" s="949"/>
      <c r="AD64" s="949"/>
    </row>
  </sheetData>
  <mergeCells count="42">
    <mergeCell ref="G20:G21"/>
    <mergeCell ref="H20:H21"/>
    <mergeCell ref="B15:C15"/>
    <mergeCell ref="C30:C31"/>
    <mergeCell ref="B26:D26"/>
    <mergeCell ref="B25:D25"/>
    <mergeCell ref="G11:G12"/>
    <mergeCell ref="A12:A13"/>
    <mergeCell ref="H11:H12"/>
    <mergeCell ref="F11:F12"/>
    <mergeCell ref="G38:H38"/>
    <mergeCell ref="A38:F38"/>
    <mergeCell ref="B24:D24"/>
    <mergeCell ref="B37:F37"/>
    <mergeCell ref="B23:D23"/>
    <mergeCell ref="E11:E12"/>
    <mergeCell ref="B36:F36"/>
    <mergeCell ref="B28:B29"/>
    <mergeCell ref="F20:F21"/>
    <mergeCell ref="G37:H37"/>
    <mergeCell ref="B34:D34"/>
    <mergeCell ref="B33:D33"/>
    <mergeCell ref="A3:H3"/>
    <mergeCell ref="A9:H9"/>
    <mergeCell ref="A6:C6"/>
    <mergeCell ref="E6:F6"/>
    <mergeCell ref="A5:H5"/>
    <mergeCell ref="A20:A37"/>
    <mergeCell ref="B30:B31"/>
    <mergeCell ref="B35:F35"/>
    <mergeCell ref="C28:C29"/>
    <mergeCell ref="E20:E21"/>
    <mergeCell ref="B32:D32"/>
    <mergeCell ref="B22:D22"/>
    <mergeCell ref="B27:D27"/>
    <mergeCell ref="B21:C21"/>
    <mergeCell ref="A16:A17"/>
    <mergeCell ref="B14:C14"/>
    <mergeCell ref="B16:D16"/>
    <mergeCell ref="B12:C12"/>
    <mergeCell ref="B18:C18"/>
    <mergeCell ref="B17:C17"/>
  </mergeCells>
  <phoneticPr fontId="2"/>
  <pageMargins left="0.6" right="0.2" top="0.98" bottom="0.78740157480314965" header="0.51181102362204722" footer="0.51181102362204722"/>
  <pageSetup paperSize="9" orientation="portrait" horizontalDpi="200" verticalDpi="200" r:id="rId1"/>
  <headerFooter alignWithMargins="0"/>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tabColor indexed="62"/>
    <pageSetUpPr autoPageBreaks="0" fitToPage="1"/>
  </sheetPr>
  <dimension ref="A1:IS24"/>
  <sheetViews>
    <sheetView showGridLines="0" zoomScaleNormal="100" workbookViewId="0"/>
  </sheetViews>
  <sheetFormatPr defaultColWidth="10.75" defaultRowHeight="14"/>
  <cols>
    <col min="1" max="1" width="4.5" style="211" customWidth="1"/>
    <col min="2" max="2" width="11.58203125" style="211" customWidth="1"/>
    <col min="3" max="3" width="25.58203125" style="211" customWidth="1"/>
    <col min="4" max="4" width="26.58203125" style="211" customWidth="1"/>
    <col min="5" max="5" width="6.58203125" style="211" customWidth="1"/>
    <col min="6" max="6" width="9.58203125" style="211" customWidth="1"/>
    <col min="7" max="7" width="4.58203125" style="211" customWidth="1"/>
    <col min="8" max="16384" width="10.75" style="211"/>
  </cols>
  <sheetData>
    <row r="1" spans="1:253" s="160" customFormat="1" ht="27" customHeight="1">
      <c r="A1" s="160" t="s">
        <v>527</v>
      </c>
    </row>
    <row r="2" spans="1:253" s="160" customFormat="1" ht="27" customHeight="1">
      <c r="A2" s="160" t="s">
        <v>512</v>
      </c>
    </row>
    <row r="3" spans="1:253" ht="27" customHeight="1">
      <c r="A3" s="160"/>
      <c r="B3" s="160"/>
      <c r="C3" s="160"/>
      <c r="D3" s="160"/>
      <c r="E3" s="160"/>
      <c r="F3" s="160"/>
      <c r="G3" s="160"/>
    </row>
    <row r="4" spans="1:253" s="151" customFormat="1" ht="27" customHeight="1">
      <c r="A4" s="1961" t="s">
        <v>73</v>
      </c>
      <c r="B4" s="1922"/>
      <c r="C4" s="1922"/>
      <c r="D4" s="1922"/>
      <c r="E4" s="1922"/>
      <c r="F4" s="1922"/>
      <c r="G4" s="1922"/>
      <c r="H4" s="150"/>
      <c r="I4" s="150"/>
      <c r="J4" s="150"/>
      <c r="K4" s="150"/>
      <c r="L4" s="150"/>
      <c r="M4" s="150"/>
      <c r="N4" s="150"/>
      <c r="O4" s="150"/>
      <c r="P4" s="150"/>
      <c r="Q4" s="150"/>
      <c r="R4" s="150"/>
      <c r="S4" s="150"/>
      <c r="T4" s="150"/>
      <c r="U4" s="150"/>
      <c r="V4" s="150"/>
      <c r="W4" s="150"/>
      <c r="X4" s="150"/>
      <c r="Y4" s="150"/>
      <c r="Z4" s="150"/>
      <c r="AA4" s="150"/>
      <c r="AB4" s="150"/>
      <c r="AC4" s="150"/>
      <c r="AD4" s="150"/>
      <c r="AE4" s="150"/>
      <c r="AF4" s="150"/>
      <c r="AG4" s="150"/>
      <c r="AH4" s="150"/>
      <c r="AI4" s="150"/>
      <c r="AJ4" s="150"/>
      <c r="AK4" s="150"/>
      <c r="AL4" s="150"/>
      <c r="AM4" s="150"/>
      <c r="AN4" s="150"/>
      <c r="AO4" s="150"/>
      <c r="AP4" s="150"/>
      <c r="AQ4" s="150"/>
      <c r="AR4" s="150"/>
      <c r="AS4" s="150"/>
      <c r="AT4" s="150"/>
      <c r="AU4" s="150"/>
      <c r="AV4" s="150"/>
      <c r="AW4" s="150"/>
      <c r="AX4" s="150"/>
      <c r="AY4" s="150"/>
      <c r="AZ4" s="150"/>
      <c r="BA4" s="150"/>
      <c r="BB4" s="150"/>
      <c r="BC4" s="150"/>
      <c r="BD4" s="150"/>
      <c r="BE4" s="150"/>
      <c r="BF4" s="150"/>
      <c r="BG4" s="150"/>
      <c r="BH4" s="150"/>
      <c r="BI4" s="150"/>
      <c r="BJ4" s="150"/>
      <c r="BK4" s="150"/>
      <c r="BL4" s="150"/>
      <c r="BM4" s="150"/>
      <c r="BN4" s="150"/>
      <c r="BO4" s="150"/>
      <c r="BP4" s="150"/>
      <c r="BQ4" s="150"/>
      <c r="BR4" s="150"/>
      <c r="BS4" s="150"/>
      <c r="BT4" s="150"/>
      <c r="BU4" s="150"/>
      <c r="BV4" s="150"/>
      <c r="BW4" s="150"/>
      <c r="BX4" s="150"/>
      <c r="BY4" s="150"/>
      <c r="BZ4" s="150"/>
      <c r="CA4" s="150"/>
      <c r="CB4" s="150"/>
      <c r="CC4" s="150"/>
      <c r="CD4" s="150"/>
      <c r="CE4" s="150"/>
      <c r="CF4" s="150"/>
      <c r="CG4" s="150"/>
      <c r="CH4" s="150"/>
      <c r="CI4" s="150"/>
      <c r="CJ4" s="150"/>
      <c r="CK4" s="150"/>
      <c r="CL4" s="150"/>
      <c r="CM4" s="150"/>
      <c r="CN4" s="150"/>
      <c r="CO4" s="150"/>
      <c r="CP4" s="150"/>
      <c r="CQ4" s="150"/>
      <c r="CR4" s="150"/>
      <c r="CS4" s="150"/>
      <c r="CT4" s="150"/>
      <c r="CU4" s="150"/>
      <c r="CV4" s="150"/>
      <c r="CW4" s="150"/>
      <c r="CX4" s="150"/>
      <c r="CY4" s="150"/>
      <c r="CZ4" s="150"/>
      <c r="DA4" s="150"/>
      <c r="DB4" s="150"/>
      <c r="DC4" s="150"/>
      <c r="DD4" s="150"/>
      <c r="DE4" s="150"/>
      <c r="DF4" s="150"/>
      <c r="DG4" s="150"/>
      <c r="DH4" s="150"/>
      <c r="DI4" s="150"/>
      <c r="DJ4" s="150"/>
      <c r="DK4" s="150"/>
      <c r="DL4" s="150"/>
      <c r="DM4" s="150"/>
      <c r="DN4" s="150"/>
      <c r="DO4" s="150"/>
      <c r="DP4" s="150"/>
      <c r="DQ4" s="150"/>
      <c r="DR4" s="150"/>
      <c r="DS4" s="150"/>
      <c r="DT4" s="150"/>
      <c r="DU4" s="150"/>
      <c r="DV4" s="150"/>
      <c r="DW4" s="150"/>
      <c r="DX4" s="150"/>
      <c r="DY4" s="150"/>
      <c r="DZ4" s="150"/>
      <c r="EA4" s="150"/>
      <c r="EB4" s="150"/>
      <c r="EC4" s="150"/>
      <c r="ED4" s="150"/>
      <c r="EE4" s="150"/>
      <c r="EF4" s="150"/>
      <c r="EG4" s="150"/>
      <c r="EH4" s="150"/>
      <c r="EI4" s="150"/>
      <c r="EJ4" s="150"/>
      <c r="EK4" s="150"/>
      <c r="EL4" s="150"/>
      <c r="EM4" s="150"/>
      <c r="EN4" s="150"/>
      <c r="EO4" s="150"/>
      <c r="EP4" s="150"/>
      <c r="EQ4" s="150"/>
      <c r="ER4" s="150"/>
      <c r="ES4" s="150"/>
      <c r="ET4" s="150"/>
      <c r="EU4" s="150"/>
      <c r="EV4" s="150"/>
      <c r="EW4" s="150"/>
      <c r="EX4" s="150"/>
      <c r="EY4" s="150"/>
      <c r="EZ4" s="150"/>
      <c r="FA4" s="150"/>
      <c r="FB4" s="150"/>
      <c r="FC4" s="150"/>
      <c r="FD4" s="150"/>
      <c r="FE4" s="150"/>
      <c r="FF4" s="150"/>
      <c r="FG4" s="150"/>
      <c r="FH4" s="150"/>
      <c r="FI4" s="150"/>
      <c r="FJ4" s="150"/>
      <c r="FK4" s="150"/>
      <c r="FL4" s="150"/>
      <c r="FM4" s="150"/>
      <c r="FN4" s="150"/>
      <c r="FO4" s="150"/>
      <c r="FP4" s="150"/>
      <c r="FQ4" s="150"/>
      <c r="FR4" s="150"/>
      <c r="FS4" s="150"/>
      <c r="FT4" s="150"/>
      <c r="FU4" s="150"/>
      <c r="FV4" s="150"/>
      <c r="FW4" s="150"/>
      <c r="FX4" s="150"/>
      <c r="FY4" s="150"/>
      <c r="FZ4" s="150"/>
      <c r="GA4" s="150"/>
      <c r="GB4" s="150"/>
      <c r="GC4" s="150"/>
      <c r="GD4" s="150"/>
      <c r="GE4" s="150"/>
      <c r="GF4" s="150"/>
      <c r="GG4" s="150"/>
      <c r="GH4" s="150"/>
      <c r="GI4" s="150"/>
      <c r="GJ4" s="150"/>
      <c r="GK4" s="150"/>
      <c r="GL4" s="150"/>
      <c r="GM4" s="150"/>
      <c r="GN4" s="150"/>
      <c r="GO4" s="150"/>
      <c r="GP4" s="150"/>
      <c r="GQ4" s="150"/>
      <c r="GR4" s="150"/>
      <c r="GS4" s="150"/>
      <c r="GT4" s="150"/>
      <c r="GU4" s="150"/>
      <c r="GV4" s="150"/>
      <c r="GW4" s="150"/>
      <c r="GX4" s="150"/>
      <c r="GY4" s="150"/>
      <c r="GZ4" s="150"/>
      <c r="HA4" s="150"/>
      <c r="HB4" s="150"/>
      <c r="HC4" s="150"/>
      <c r="HD4" s="150"/>
      <c r="HE4" s="150"/>
      <c r="HF4" s="150"/>
      <c r="HG4" s="150"/>
      <c r="HH4" s="150"/>
      <c r="HI4" s="150"/>
      <c r="HJ4" s="150"/>
      <c r="HK4" s="150"/>
      <c r="HL4" s="150"/>
      <c r="HM4" s="150"/>
      <c r="HN4" s="150"/>
      <c r="HO4" s="150"/>
      <c r="HP4" s="150"/>
      <c r="HQ4" s="150"/>
      <c r="HR4" s="150"/>
      <c r="HS4" s="150"/>
      <c r="HT4" s="150"/>
      <c r="HU4" s="150"/>
      <c r="HV4" s="150"/>
      <c r="HW4" s="150"/>
      <c r="HX4" s="150"/>
      <c r="HY4" s="150"/>
      <c r="HZ4" s="150"/>
      <c r="IA4" s="150"/>
      <c r="IB4" s="150"/>
      <c r="IC4" s="150"/>
      <c r="ID4" s="150"/>
      <c r="IE4" s="150"/>
      <c r="IF4" s="150"/>
      <c r="IG4" s="150"/>
      <c r="IH4" s="150"/>
      <c r="II4" s="150"/>
      <c r="IJ4" s="150"/>
      <c r="IK4" s="150"/>
      <c r="IL4" s="150"/>
      <c r="IM4" s="150"/>
      <c r="IN4" s="150"/>
      <c r="IO4" s="150"/>
      <c r="IP4" s="150"/>
      <c r="IQ4" s="150"/>
      <c r="IR4" s="150"/>
      <c r="IS4" s="150"/>
    </row>
    <row r="5" spans="1:253" ht="26.15" customHeight="1">
      <c r="A5" s="209"/>
      <c r="B5" s="209"/>
      <c r="C5" s="209"/>
      <c r="D5" s="209"/>
      <c r="E5" s="209"/>
      <c r="F5" s="209"/>
      <c r="G5" s="209"/>
      <c r="H5" s="210"/>
      <c r="I5" s="210"/>
      <c r="J5" s="210"/>
      <c r="K5" s="210"/>
      <c r="L5" s="210"/>
      <c r="M5" s="210"/>
      <c r="N5" s="210"/>
      <c r="O5" s="210"/>
      <c r="P5" s="210"/>
      <c r="Q5" s="210"/>
      <c r="R5" s="210"/>
      <c r="S5" s="210"/>
      <c r="T5" s="210"/>
      <c r="U5" s="210"/>
      <c r="V5" s="210"/>
      <c r="W5" s="210"/>
      <c r="X5" s="210"/>
      <c r="Y5" s="210"/>
      <c r="Z5" s="210"/>
      <c r="AA5" s="210"/>
      <c r="AB5" s="210"/>
      <c r="AC5" s="210"/>
      <c r="AD5" s="210"/>
      <c r="AE5" s="210"/>
      <c r="AF5" s="210"/>
      <c r="AG5" s="210"/>
      <c r="AH5" s="210"/>
      <c r="AI5" s="210"/>
      <c r="AJ5" s="210"/>
      <c r="AK5" s="210"/>
      <c r="AL5" s="210"/>
      <c r="AM5" s="210"/>
      <c r="AN5" s="210"/>
      <c r="AO5" s="210"/>
      <c r="AP5" s="210"/>
      <c r="AQ5" s="210"/>
      <c r="AR5" s="210"/>
      <c r="AS5" s="210"/>
      <c r="AT5" s="210"/>
      <c r="AU5" s="210"/>
      <c r="AV5" s="210"/>
      <c r="AW5" s="210"/>
      <c r="AX5" s="210"/>
      <c r="AY5" s="210"/>
      <c r="AZ5" s="210"/>
      <c r="BA5" s="210"/>
      <c r="BB5" s="210"/>
      <c r="BC5" s="210"/>
      <c r="BD5" s="210"/>
      <c r="BE5" s="210"/>
      <c r="BF5" s="210"/>
      <c r="BG5" s="210"/>
      <c r="BH5" s="210"/>
      <c r="BI5" s="210"/>
      <c r="BJ5" s="210"/>
      <c r="BK5" s="210"/>
      <c r="BL5" s="210"/>
      <c r="BM5" s="210"/>
      <c r="BN5" s="210"/>
      <c r="BO5" s="210"/>
      <c r="BP5" s="210"/>
      <c r="BQ5" s="210"/>
      <c r="BR5" s="210"/>
      <c r="BS5" s="210"/>
      <c r="BT5" s="210"/>
      <c r="BU5" s="210"/>
      <c r="BV5" s="210"/>
      <c r="BW5" s="210"/>
      <c r="BX5" s="210"/>
      <c r="BY5" s="210"/>
      <c r="BZ5" s="210"/>
      <c r="CA5" s="210"/>
      <c r="CB5" s="210"/>
      <c r="CC5" s="210"/>
      <c r="CD5" s="210"/>
      <c r="CE5" s="210"/>
      <c r="CF5" s="210"/>
      <c r="CG5" s="210"/>
      <c r="CH5" s="210"/>
      <c r="CI5" s="210"/>
      <c r="CJ5" s="210"/>
      <c r="CK5" s="210"/>
      <c r="CL5" s="210"/>
      <c r="CM5" s="210"/>
      <c r="CN5" s="210"/>
      <c r="CO5" s="210"/>
      <c r="CP5" s="210"/>
      <c r="CQ5" s="210"/>
      <c r="CR5" s="210"/>
      <c r="CS5" s="210"/>
      <c r="CT5" s="210"/>
      <c r="CU5" s="210"/>
      <c r="CV5" s="210"/>
      <c r="CW5" s="210"/>
      <c r="CX5" s="210"/>
      <c r="CY5" s="210"/>
      <c r="CZ5" s="210"/>
      <c r="DA5" s="210"/>
      <c r="DB5" s="210"/>
      <c r="DC5" s="210"/>
      <c r="DD5" s="210"/>
      <c r="DE5" s="210"/>
      <c r="DF5" s="210"/>
      <c r="DG5" s="210"/>
      <c r="DH5" s="210"/>
      <c r="DI5" s="210"/>
      <c r="DJ5" s="210"/>
      <c r="DK5" s="210"/>
      <c r="DL5" s="210"/>
      <c r="DM5" s="210"/>
      <c r="DN5" s="210"/>
      <c r="DO5" s="210"/>
      <c r="DP5" s="210"/>
      <c r="DQ5" s="210"/>
      <c r="DR5" s="210"/>
      <c r="DS5" s="210"/>
      <c r="DT5" s="210"/>
      <c r="DU5" s="210"/>
      <c r="DV5" s="210"/>
      <c r="DW5" s="210"/>
      <c r="DX5" s="210"/>
      <c r="DY5" s="210"/>
      <c r="DZ5" s="210"/>
      <c r="EA5" s="210"/>
      <c r="EB5" s="210"/>
      <c r="EC5" s="210"/>
      <c r="ED5" s="210"/>
      <c r="EE5" s="210"/>
      <c r="EF5" s="210"/>
      <c r="EG5" s="210"/>
      <c r="EH5" s="210"/>
      <c r="EI5" s="210"/>
      <c r="EJ5" s="210"/>
      <c r="EK5" s="210"/>
      <c r="EL5" s="210"/>
      <c r="EM5" s="210"/>
      <c r="EN5" s="210"/>
      <c r="EO5" s="210"/>
      <c r="EP5" s="210"/>
      <c r="EQ5" s="210"/>
      <c r="ER5" s="210"/>
      <c r="ES5" s="210"/>
      <c r="ET5" s="210"/>
      <c r="EU5" s="210"/>
      <c r="EV5" s="210"/>
      <c r="EW5" s="210"/>
      <c r="EX5" s="210"/>
      <c r="EY5" s="210"/>
      <c r="EZ5" s="210"/>
      <c r="FA5" s="210"/>
      <c r="FB5" s="210"/>
      <c r="FC5" s="210"/>
      <c r="FD5" s="210"/>
      <c r="FE5" s="210"/>
      <c r="FF5" s="210"/>
      <c r="FG5" s="210"/>
      <c r="FH5" s="210"/>
      <c r="FI5" s="210"/>
      <c r="FJ5" s="210"/>
      <c r="FK5" s="210"/>
      <c r="FL5" s="210"/>
      <c r="FM5" s="210"/>
      <c r="FN5" s="210"/>
      <c r="FO5" s="210"/>
      <c r="FP5" s="210"/>
      <c r="FQ5" s="210"/>
      <c r="FR5" s="210"/>
      <c r="FS5" s="210"/>
      <c r="FT5" s="210"/>
      <c r="FU5" s="210"/>
      <c r="FV5" s="210"/>
      <c r="FW5" s="210"/>
      <c r="FX5" s="210"/>
      <c r="FY5" s="210"/>
      <c r="FZ5" s="210"/>
      <c r="GA5" s="210"/>
      <c r="GB5" s="210"/>
      <c r="GC5" s="210"/>
      <c r="GD5" s="210"/>
      <c r="GE5" s="210"/>
      <c r="GF5" s="210"/>
      <c r="GG5" s="210"/>
      <c r="GH5" s="210"/>
      <c r="GI5" s="210"/>
      <c r="GJ5" s="210"/>
      <c r="GK5" s="210"/>
      <c r="GL5" s="210"/>
      <c r="GM5" s="210"/>
      <c r="GN5" s="210"/>
      <c r="GO5" s="210"/>
      <c r="GP5" s="210"/>
      <c r="GQ5" s="210"/>
      <c r="GR5" s="210"/>
      <c r="GS5" s="210"/>
      <c r="GT5" s="210"/>
      <c r="GU5" s="210"/>
      <c r="GV5" s="210"/>
      <c r="GW5" s="210"/>
      <c r="GX5" s="210"/>
      <c r="GY5" s="210"/>
      <c r="GZ5" s="210"/>
      <c r="HA5" s="210"/>
      <c r="HB5" s="210"/>
      <c r="HC5" s="210"/>
      <c r="HD5" s="210"/>
      <c r="HE5" s="210"/>
      <c r="HF5" s="210"/>
      <c r="HG5" s="210"/>
      <c r="HH5" s="210"/>
      <c r="HI5" s="210"/>
      <c r="HJ5" s="210"/>
      <c r="HK5" s="210"/>
      <c r="HL5" s="210"/>
      <c r="HM5" s="210"/>
      <c r="HN5" s="210"/>
      <c r="HO5" s="210"/>
      <c r="HP5" s="210"/>
      <c r="HQ5" s="210"/>
      <c r="HR5" s="210"/>
      <c r="HS5" s="210"/>
      <c r="HT5" s="210"/>
      <c r="HU5" s="210"/>
      <c r="HV5" s="210"/>
      <c r="HW5" s="210"/>
      <c r="HX5" s="210"/>
      <c r="HY5" s="210"/>
      <c r="HZ5" s="210"/>
      <c r="IA5" s="210"/>
      <c r="IB5" s="210"/>
      <c r="IC5" s="210"/>
      <c r="ID5" s="210"/>
      <c r="IE5" s="210"/>
      <c r="IF5" s="210"/>
      <c r="IG5" s="210"/>
      <c r="IH5" s="210"/>
      <c r="II5" s="210"/>
      <c r="IJ5" s="210"/>
      <c r="IK5" s="210"/>
      <c r="IL5" s="210"/>
      <c r="IM5" s="210"/>
      <c r="IN5" s="210"/>
      <c r="IO5" s="210"/>
      <c r="IP5" s="210"/>
      <c r="IQ5" s="210"/>
      <c r="IR5" s="210"/>
      <c r="IS5" s="210"/>
    </row>
    <row r="6" spans="1:253" ht="30" customHeight="1" thickBot="1">
      <c r="A6" s="209"/>
      <c r="B6" s="209"/>
      <c r="C6" s="209"/>
      <c r="D6" s="210"/>
      <c r="E6" s="209"/>
      <c r="F6" s="209"/>
      <c r="G6" s="209"/>
      <c r="H6" s="210"/>
      <c r="I6" s="210"/>
      <c r="J6" s="210"/>
      <c r="K6" s="210"/>
      <c r="L6" s="210"/>
      <c r="M6" s="210"/>
      <c r="N6" s="210"/>
      <c r="O6" s="210"/>
      <c r="P6" s="210"/>
      <c r="Q6" s="210"/>
      <c r="R6" s="210"/>
      <c r="S6" s="210"/>
      <c r="T6" s="210"/>
      <c r="U6" s="210"/>
      <c r="V6" s="210"/>
      <c r="W6" s="210"/>
      <c r="X6" s="210"/>
      <c r="Y6" s="210"/>
      <c r="Z6" s="210"/>
      <c r="AA6" s="210"/>
      <c r="AB6" s="210"/>
      <c r="AC6" s="210"/>
      <c r="AD6" s="210"/>
      <c r="AE6" s="210"/>
      <c r="AF6" s="210"/>
      <c r="AG6" s="210"/>
      <c r="AH6" s="210"/>
      <c r="AI6" s="210"/>
      <c r="AJ6" s="210"/>
      <c r="AK6" s="210"/>
      <c r="AL6" s="210"/>
      <c r="AM6" s="210"/>
      <c r="AN6" s="210"/>
      <c r="AO6" s="210"/>
      <c r="AP6" s="210"/>
      <c r="AQ6" s="210"/>
      <c r="AR6" s="210"/>
      <c r="AS6" s="210"/>
      <c r="AT6" s="210"/>
      <c r="AU6" s="210"/>
      <c r="AV6" s="210"/>
      <c r="AW6" s="210"/>
      <c r="AX6" s="210"/>
      <c r="AY6" s="210"/>
      <c r="AZ6" s="210"/>
      <c r="BA6" s="210"/>
      <c r="BB6" s="210"/>
      <c r="BC6" s="210"/>
      <c r="BD6" s="210"/>
      <c r="BE6" s="210"/>
      <c r="BF6" s="210"/>
      <c r="BG6" s="210"/>
      <c r="BH6" s="210"/>
      <c r="BI6" s="210"/>
      <c r="BJ6" s="210"/>
      <c r="BK6" s="210"/>
      <c r="BL6" s="210"/>
      <c r="BM6" s="210"/>
      <c r="BN6" s="210"/>
      <c r="BO6" s="210"/>
      <c r="BP6" s="210"/>
      <c r="BQ6" s="210"/>
      <c r="BR6" s="210"/>
      <c r="BS6" s="210"/>
      <c r="BT6" s="210"/>
      <c r="BU6" s="210"/>
      <c r="BV6" s="210"/>
      <c r="BW6" s="210"/>
      <c r="BX6" s="210"/>
      <c r="BY6" s="210"/>
      <c r="BZ6" s="210"/>
      <c r="CA6" s="210"/>
      <c r="CB6" s="210"/>
      <c r="CC6" s="210"/>
      <c r="CD6" s="210"/>
      <c r="CE6" s="210"/>
      <c r="CF6" s="210"/>
      <c r="CG6" s="210"/>
      <c r="CH6" s="210"/>
      <c r="CI6" s="210"/>
      <c r="CJ6" s="210"/>
      <c r="CK6" s="210"/>
      <c r="CL6" s="210"/>
      <c r="CM6" s="210"/>
      <c r="CN6" s="210"/>
      <c r="CO6" s="210"/>
      <c r="CP6" s="210"/>
      <c r="CQ6" s="210"/>
      <c r="CR6" s="210"/>
      <c r="CS6" s="210"/>
      <c r="CT6" s="210"/>
      <c r="CU6" s="210"/>
      <c r="CV6" s="210"/>
      <c r="CW6" s="210"/>
      <c r="CX6" s="210"/>
      <c r="CY6" s="210"/>
      <c r="CZ6" s="210"/>
      <c r="DA6" s="210"/>
      <c r="DB6" s="210"/>
      <c r="DC6" s="210"/>
      <c r="DD6" s="210"/>
      <c r="DE6" s="210"/>
      <c r="DF6" s="210"/>
      <c r="DG6" s="210"/>
      <c r="DH6" s="210"/>
      <c r="DI6" s="210"/>
      <c r="DJ6" s="210"/>
      <c r="DK6" s="210"/>
      <c r="DL6" s="210"/>
      <c r="DM6" s="210"/>
      <c r="DN6" s="210"/>
      <c r="DO6" s="210"/>
      <c r="DP6" s="210"/>
      <c r="DQ6" s="210"/>
      <c r="DR6" s="210"/>
      <c r="DS6" s="210"/>
      <c r="DT6" s="210"/>
      <c r="DU6" s="210"/>
      <c r="DV6" s="210"/>
      <c r="DW6" s="210"/>
      <c r="DX6" s="210"/>
      <c r="DY6" s="210"/>
      <c r="DZ6" s="210"/>
      <c r="EA6" s="210"/>
      <c r="EB6" s="210"/>
      <c r="EC6" s="210"/>
      <c r="ED6" s="210"/>
      <c r="EE6" s="210"/>
      <c r="EF6" s="210"/>
      <c r="EG6" s="210"/>
      <c r="EH6" s="210"/>
      <c r="EI6" s="210"/>
      <c r="EJ6" s="210"/>
      <c r="EK6" s="210"/>
      <c r="EL6" s="210"/>
      <c r="EM6" s="210"/>
      <c r="EN6" s="210"/>
      <c r="EO6" s="210"/>
      <c r="EP6" s="210"/>
      <c r="EQ6" s="210"/>
      <c r="ER6" s="210"/>
      <c r="ES6" s="210"/>
      <c r="ET6" s="210"/>
      <c r="EU6" s="210"/>
      <c r="EV6" s="210"/>
      <c r="EW6" s="210"/>
      <c r="EX6" s="210"/>
      <c r="EY6" s="210"/>
      <c r="EZ6" s="210"/>
      <c r="FA6" s="210"/>
      <c r="FB6" s="210"/>
      <c r="FC6" s="210"/>
      <c r="FD6" s="210"/>
      <c r="FE6" s="210"/>
      <c r="FF6" s="210"/>
      <c r="FG6" s="210"/>
      <c r="FH6" s="210"/>
      <c r="FI6" s="210"/>
      <c r="FJ6" s="210"/>
      <c r="FK6" s="210"/>
      <c r="FL6" s="210"/>
      <c r="FM6" s="210"/>
      <c r="FN6" s="210"/>
      <c r="FO6" s="210"/>
      <c r="FP6" s="210"/>
      <c r="FQ6" s="210"/>
      <c r="FR6" s="210"/>
      <c r="FS6" s="210"/>
      <c r="FT6" s="210"/>
      <c r="FU6" s="210"/>
      <c r="FV6" s="210"/>
      <c r="FW6" s="210"/>
      <c r="FX6" s="210"/>
      <c r="FY6" s="210"/>
      <c r="FZ6" s="210"/>
      <c r="GA6" s="210"/>
      <c r="GB6" s="210"/>
      <c r="GC6" s="210"/>
      <c r="GD6" s="210"/>
      <c r="GE6" s="210"/>
      <c r="GF6" s="210"/>
      <c r="GG6" s="210"/>
      <c r="GH6" s="210"/>
      <c r="GI6" s="210"/>
      <c r="GJ6" s="210"/>
      <c r="GK6" s="210"/>
      <c r="GL6" s="210"/>
      <c r="GM6" s="210"/>
      <c r="GN6" s="210"/>
      <c r="GO6" s="210"/>
      <c r="GP6" s="210"/>
      <c r="GQ6" s="210"/>
      <c r="GR6" s="210"/>
      <c r="GS6" s="210"/>
      <c r="GT6" s="210"/>
      <c r="GU6" s="210"/>
      <c r="GV6" s="210"/>
      <c r="GW6" s="210"/>
      <c r="GX6" s="210"/>
      <c r="GY6" s="210"/>
      <c r="GZ6" s="210"/>
      <c r="HA6" s="210"/>
      <c r="HB6" s="210"/>
      <c r="HC6" s="210"/>
      <c r="HD6" s="210"/>
      <c r="HE6" s="210"/>
      <c r="HF6" s="210"/>
      <c r="HG6" s="210"/>
      <c r="HH6" s="210"/>
      <c r="HI6" s="210"/>
      <c r="HJ6" s="210"/>
      <c r="HK6" s="210"/>
      <c r="HL6" s="210"/>
      <c r="HM6" s="210"/>
      <c r="HN6" s="210"/>
      <c r="HO6" s="210"/>
      <c r="HP6" s="210"/>
      <c r="HQ6" s="210"/>
      <c r="HR6" s="210"/>
      <c r="HS6" s="210"/>
      <c r="HT6" s="210"/>
      <c r="HU6" s="210"/>
      <c r="HV6" s="210"/>
      <c r="HW6" s="210"/>
      <c r="HX6" s="210"/>
      <c r="HY6" s="210"/>
      <c r="HZ6" s="210"/>
      <c r="IA6" s="210"/>
      <c r="IB6" s="210"/>
      <c r="IC6" s="210"/>
      <c r="ID6" s="210"/>
      <c r="IE6" s="210"/>
      <c r="IF6" s="210"/>
      <c r="IG6" s="210"/>
      <c r="IH6" s="210"/>
      <c r="II6" s="210"/>
      <c r="IJ6" s="210"/>
      <c r="IK6" s="210"/>
      <c r="IL6" s="210"/>
      <c r="IM6" s="210"/>
      <c r="IN6" s="210"/>
      <c r="IO6" s="210"/>
      <c r="IP6" s="210"/>
      <c r="IQ6" s="210"/>
      <c r="IR6" s="210"/>
      <c r="IS6" s="210"/>
    </row>
    <row r="7" spans="1:253" ht="36.75" customHeight="1">
      <c r="A7" s="1952" t="s">
        <v>751</v>
      </c>
      <c r="B7" s="1953"/>
      <c r="C7" s="1954"/>
      <c r="D7" s="240" t="s">
        <v>752</v>
      </c>
      <c r="E7" s="1966" t="s">
        <v>753</v>
      </c>
      <c r="F7" s="1953"/>
      <c r="G7" s="1967"/>
      <c r="H7" s="210"/>
      <c r="I7" s="210"/>
      <c r="J7" s="210"/>
      <c r="K7" s="210"/>
      <c r="L7" s="210"/>
      <c r="M7" s="210"/>
      <c r="N7" s="210"/>
      <c r="O7" s="210"/>
      <c r="P7" s="210"/>
      <c r="Q7" s="210"/>
      <c r="R7" s="210"/>
      <c r="S7" s="210"/>
      <c r="T7" s="210"/>
      <c r="U7" s="210"/>
      <c r="V7" s="210"/>
      <c r="W7" s="210"/>
      <c r="X7" s="210"/>
      <c r="Y7" s="210"/>
      <c r="Z7" s="210"/>
      <c r="AA7" s="210"/>
      <c r="AB7" s="210"/>
      <c r="AC7" s="210"/>
      <c r="AD7" s="210"/>
      <c r="AE7" s="210"/>
      <c r="AF7" s="210"/>
      <c r="AG7" s="210"/>
      <c r="AH7" s="210"/>
      <c r="AI7" s="210"/>
      <c r="AJ7" s="210"/>
      <c r="AK7" s="210"/>
      <c r="AL7" s="210"/>
      <c r="AM7" s="210"/>
      <c r="AN7" s="210"/>
      <c r="AO7" s="210"/>
      <c r="AP7" s="210"/>
      <c r="AQ7" s="210"/>
      <c r="AR7" s="210"/>
      <c r="AS7" s="210"/>
      <c r="AT7" s="210"/>
      <c r="AU7" s="210"/>
      <c r="AV7" s="210"/>
      <c r="AW7" s="210"/>
      <c r="AX7" s="210"/>
      <c r="AY7" s="210"/>
      <c r="AZ7" s="210"/>
      <c r="BA7" s="210"/>
      <c r="BB7" s="210"/>
      <c r="BC7" s="210"/>
      <c r="BD7" s="210"/>
      <c r="BE7" s="210"/>
      <c r="BF7" s="210"/>
      <c r="BG7" s="210"/>
      <c r="BH7" s="210"/>
      <c r="BI7" s="210"/>
      <c r="BJ7" s="210"/>
      <c r="BK7" s="210"/>
      <c r="BL7" s="210"/>
      <c r="BM7" s="210"/>
      <c r="BN7" s="210"/>
      <c r="BO7" s="210"/>
      <c r="BP7" s="210"/>
      <c r="BQ7" s="210"/>
      <c r="BR7" s="210"/>
      <c r="BS7" s="210"/>
      <c r="BT7" s="210"/>
      <c r="BU7" s="210"/>
      <c r="BV7" s="210"/>
      <c r="BW7" s="210"/>
      <c r="BX7" s="210"/>
      <c r="BY7" s="210"/>
      <c r="BZ7" s="210"/>
      <c r="CA7" s="210"/>
      <c r="CB7" s="210"/>
      <c r="CC7" s="210"/>
      <c r="CD7" s="210"/>
      <c r="CE7" s="210"/>
      <c r="CF7" s="210"/>
      <c r="CG7" s="210"/>
      <c r="CH7" s="210"/>
      <c r="CI7" s="210"/>
      <c r="CJ7" s="210"/>
      <c r="CK7" s="210"/>
      <c r="CL7" s="210"/>
      <c r="CM7" s="210"/>
      <c r="CN7" s="210"/>
      <c r="CO7" s="210"/>
      <c r="CP7" s="210"/>
      <c r="CQ7" s="210"/>
      <c r="CR7" s="210"/>
      <c r="CS7" s="210"/>
      <c r="CT7" s="210"/>
      <c r="CU7" s="210"/>
      <c r="CV7" s="210"/>
      <c r="CW7" s="210"/>
      <c r="CX7" s="210"/>
      <c r="CY7" s="210"/>
      <c r="CZ7" s="210"/>
      <c r="DA7" s="210"/>
      <c r="DB7" s="210"/>
      <c r="DC7" s="210"/>
      <c r="DD7" s="210"/>
      <c r="DE7" s="210"/>
      <c r="DF7" s="210"/>
      <c r="DG7" s="210"/>
      <c r="DH7" s="210"/>
      <c r="DI7" s="210"/>
      <c r="DJ7" s="210"/>
      <c r="DK7" s="210"/>
      <c r="DL7" s="210"/>
      <c r="DM7" s="210"/>
      <c r="DN7" s="210"/>
      <c r="DO7" s="210"/>
      <c r="DP7" s="210"/>
      <c r="DQ7" s="210"/>
      <c r="DR7" s="210"/>
      <c r="DS7" s="210"/>
      <c r="DT7" s="210"/>
      <c r="DU7" s="210"/>
      <c r="DV7" s="210"/>
      <c r="DW7" s="210"/>
      <c r="DX7" s="210"/>
      <c r="DY7" s="210"/>
      <c r="DZ7" s="210"/>
      <c r="EA7" s="210"/>
      <c r="EB7" s="210"/>
      <c r="EC7" s="210"/>
      <c r="ED7" s="210"/>
      <c r="EE7" s="210"/>
      <c r="EF7" s="210"/>
      <c r="EG7" s="210"/>
      <c r="EH7" s="210"/>
      <c r="EI7" s="210"/>
      <c r="EJ7" s="210"/>
      <c r="EK7" s="210"/>
      <c r="EL7" s="210"/>
      <c r="EM7" s="210"/>
      <c r="EN7" s="210"/>
      <c r="EO7" s="210"/>
      <c r="EP7" s="210"/>
      <c r="EQ7" s="210"/>
      <c r="ER7" s="210"/>
      <c r="ES7" s="210"/>
      <c r="ET7" s="210"/>
      <c r="EU7" s="210"/>
      <c r="EV7" s="210"/>
      <c r="EW7" s="210"/>
      <c r="EX7" s="210"/>
      <c r="EY7" s="210"/>
      <c r="EZ7" s="210"/>
      <c r="FA7" s="210"/>
      <c r="FB7" s="210"/>
      <c r="FC7" s="210"/>
      <c r="FD7" s="210"/>
      <c r="FE7" s="210"/>
      <c r="FF7" s="210"/>
      <c r="FG7" s="210"/>
      <c r="FH7" s="210"/>
      <c r="FI7" s="210"/>
      <c r="FJ7" s="210"/>
      <c r="FK7" s="210"/>
      <c r="FL7" s="210"/>
      <c r="FM7" s="210"/>
      <c r="FN7" s="210"/>
      <c r="FO7" s="210"/>
      <c r="FP7" s="210"/>
      <c r="FQ7" s="210"/>
      <c r="FR7" s="210"/>
      <c r="FS7" s="210"/>
      <c r="FT7" s="210"/>
      <c r="FU7" s="210"/>
      <c r="FV7" s="210"/>
      <c r="FW7" s="210"/>
      <c r="FX7" s="210"/>
      <c r="FY7" s="210"/>
      <c r="FZ7" s="210"/>
      <c r="GA7" s="210"/>
      <c r="GB7" s="210"/>
      <c r="GC7" s="210"/>
      <c r="GD7" s="210"/>
      <c r="GE7" s="210"/>
      <c r="GF7" s="210"/>
      <c r="GG7" s="210"/>
      <c r="GH7" s="210"/>
      <c r="GI7" s="210"/>
      <c r="GJ7" s="210"/>
      <c r="GK7" s="210"/>
      <c r="GL7" s="210"/>
      <c r="GM7" s="210"/>
      <c r="GN7" s="210"/>
      <c r="GO7" s="210"/>
      <c r="GP7" s="210"/>
      <c r="GQ7" s="210"/>
      <c r="GR7" s="210"/>
      <c r="GS7" s="210"/>
      <c r="GT7" s="210"/>
      <c r="GU7" s="210"/>
      <c r="GV7" s="210"/>
      <c r="GW7" s="210"/>
      <c r="GX7" s="210"/>
      <c r="GY7" s="210"/>
      <c r="GZ7" s="210"/>
      <c r="HA7" s="210"/>
      <c r="HB7" s="210"/>
      <c r="HC7" s="210"/>
      <c r="HD7" s="210"/>
      <c r="HE7" s="210"/>
      <c r="HF7" s="210"/>
      <c r="HG7" s="210"/>
      <c r="HH7" s="210"/>
      <c r="HI7" s="210"/>
      <c r="HJ7" s="210"/>
      <c r="HK7" s="210"/>
      <c r="HL7" s="210"/>
      <c r="HM7" s="210"/>
      <c r="HN7" s="210"/>
      <c r="HO7" s="210"/>
      <c r="HP7" s="210"/>
      <c r="HQ7" s="210"/>
      <c r="HR7" s="210"/>
      <c r="HS7" s="210"/>
      <c r="HT7" s="210"/>
      <c r="HU7" s="210"/>
      <c r="HV7" s="210"/>
      <c r="HW7" s="210"/>
      <c r="HX7" s="210"/>
      <c r="HY7" s="210"/>
      <c r="HZ7" s="210"/>
      <c r="IA7" s="210"/>
      <c r="IB7" s="210"/>
      <c r="IC7" s="210"/>
      <c r="ID7" s="210"/>
      <c r="IE7" s="210"/>
      <c r="IF7" s="210"/>
      <c r="IG7" s="210"/>
      <c r="IH7" s="210"/>
      <c r="II7" s="210"/>
      <c r="IJ7" s="210"/>
      <c r="IK7" s="210"/>
      <c r="IL7" s="210"/>
      <c r="IM7" s="210"/>
      <c r="IN7" s="210"/>
      <c r="IO7" s="210"/>
      <c r="IP7" s="210"/>
      <c r="IQ7" s="210"/>
      <c r="IR7" s="210"/>
      <c r="IS7" s="210"/>
    </row>
    <row r="8" spans="1:253" ht="36.75" customHeight="1">
      <c r="A8" s="343"/>
      <c r="B8" s="1958" t="s">
        <v>695</v>
      </c>
      <c r="C8" s="1959"/>
      <c r="D8" s="566">
        <f>説明書!G9</f>
        <v>7892213</v>
      </c>
      <c r="E8" s="566"/>
      <c r="F8" s="567">
        <f t="shared" ref="F8:F20" si="0">D8/D$21*100</f>
        <v>34.322692550684415</v>
      </c>
      <c r="G8" s="568"/>
      <c r="H8" s="210"/>
      <c r="I8" s="210"/>
      <c r="J8" s="210"/>
      <c r="K8" s="210"/>
      <c r="L8" s="210"/>
      <c r="M8" s="210"/>
      <c r="N8" s="210"/>
      <c r="O8" s="210"/>
      <c r="P8" s="210"/>
      <c r="Q8" s="210"/>
      <c r="R8" s="210"/>
      <c r="S8" s="210"/>
      <c r="T8" s="210"/>
      <c r="U8" s="210"/>
      <c r="V8" s="210"/>
      <c r="W8" s="210"/>
      <c r="X8" s="210"/>
      <c r="Y8" s="210"/>
      <c r="Z8" s="210"/>
      <c r="AA8" s="210"/>
      <c r="AB8" s="210"/>
      <c r="AC8" s="210"/>
      <c r="AD8" s="210"/>
      <c r="AE8" s="210"/>
      <c r="AF8" s="210"/>
      <c r="AG8" s="210"/>
      <c r="AH8" s="210"/>
      <c r="AI8" s="210"/>
      <c r="AJ8" s="210"/>
      <c r="AK8" s="210"/>
      <c r="AL8" s="210"/>
      <c r="AM8" s="210"/>
      <c r="AN8" s="210"/>
      <c r="AO8" s="210"/>
      <c r="AP8" s="210"/>
      <c r="AQ8" s="210"/>
      <c r="AR8" s="210"/>
      <c r="AS8" s="210"/>
      <c r="AT8" s="210"/>
      <c r="AU8" s="210"/>
      <c r="AV8" s="210"/>
      <c r="AW8" s="210"/>
      <c r="AX8" s="210"/>
      <c r="AY8" s="210"/>
      <c r="AZ8" s="210"/>
      <c r="BA8" s="210"/>
      <c r="BB8" s="210"/>
      <c r="BC8" s="210"/>
      <c r="BD8" s="210"/>
      <c r="BE8" s="210"/>
      <c r="BF8" s="210"/>
      <c r="BG8" s="210"/>
      <c r="BH8" s="210"/>
      <c r="BI8" s="210"/>
      <c r="BJ8" s="210"/>
      <c r="BK8" s="210"/>
      <c r="BL8" s="210"/>
      <c r="BM8" s="210"/>
      <c r="BN8" s="210"/>
      <c r="BO8" s="210"/>
      <c r="BP8" s="210"/>
      <c r="BQ8" s="210"/>
      <c r="BR8" s="210"/>
      <c r="BS8" s="210"/>
      <c r="BT8" s="210"/>
      <c r="BU8" s="210"/>
      <c r="BV8" s="210"/>
      <c r="BW8" s="210"/>
      <c r="BX8" s="210"/>
      <c r="BY8" s="210"/>
      <c r="BZ8" s="210"/>
      <c r="CA8" s="210"/>
      <c r="CB8" s="210"/>
      <c r="CC8" s="210"/>
      <c r="CD8" s="210"/>
      <c r="CE8" s="210"/>
      <c r="CF8" s="210"/>
      <c r="CG8" s="210"/>
      <c r="CH8" s="210"/>
      <c r="CI8" s="210"/>
      <c r="CJ8" s="210"/>
      <c r="CK8" s="210"/>
      <c r="CL8" s="210"/>
      <c r="CM8" s="210"/>
      <c r="CN8" s="210"/>
      <c r="CO8" s="210"/>
      <c r="CP8" s="210"/>
      <c r="CQ8" s="210"/>
      <c r="CR8" s="210"/>
      <c r="CS8" s="210"/>
      <c r="CT8" s="210"/>
      <c r="CU8" s="210"/>
      <c r="CV8" s="210"/>
      <c r="CW8" s="210"/>
      <c r="CX8" s="210"/>
      <c r="CY8" s="210"/>
      <c r="CZ8" s="210"/>
      <c r="DA8" s="210"/>
      <c r="DB8" s="210"/>
      <c r="DC8" s="210"/>
      <c r="DD8" s="210"/>
      <c r="DE8" s="210"/>
      <c r="DF8" s="210"/>
      <c r="DG8" s="210"/>
      <c r="DH8" s="210"/>
      <c r="DI8" s="210"/>
      <c r="DJ8" s="210"/>
      <c r="DK8" s="210"/>
      <c r="DL8" s="210"/>
      <c r="DM8" s="210"/>
      <c r="DN8" s="210"/>
      <c r="DO8" s="210"/>
      <c r="DP8" s="210"/>
      <c r="DQ8" s="210"/>
      <c r="DR8" s="210"/>
      <c r="DS8" s="210"/>
      <c r="DT8" s="210"/>
      <c r="DU8" s="210"/>
      <c r="DV8" s="210"/>
      <c r="DW8" s="210"/>
      <c r="DX8" s="210"/>
      <c r="DY8" s="210"/>
      <c r="DZ8" s="210"/>
      <c r="EA8" s="210"/>
      <c r="EB8" s="210"/>
      <c r="EC8" s="210"/>
      <c r="ED8" s="210"/>
      <c r="EE8" s="210"/>
      <c r="EF8" s="210"/>
      <c r="EG8" s="210"/>
      <c r="EH8" s="210"/>
      <c r="EI8" s="210"/>
      <c r="EJ8" s="210"/>
      <c r="EK8" s="210"/>
      <c r="EL8" s="210"/>
      <c r="EM8" s="210"/>
      <c r="EN8" s="210"/>
      <c r="EO8" s="210"/>
      <c r="EP8" s="210"/>
      <c r="EQ8" s="210"/>
      <c r="ER8" s="210"/>
      <c r="ES8" s="210"/>
      <c r="ET8" s="210"/>
      <c r="EU8" s="210"/>
      <c r="EV8" s="210"/>
      <c r="EW8" s="210"/>
      <c r="EX8" s="210"/>
      <c r="EY8" s="210"/>
      <c r="EZ8" s="210"/>
      <c r="FA8" s="210"/>
      <c r="FB8" s="210"/>
      <c r="FC8" s="210"/>
      <c r="FD8" s="210"/>
      <c r="FE8" s="210"/>
      <c r="FF8" s="210"/>
      <c r="FG8" s="210"/>
      <c r="FH8" s="210"/>
      <c r="FI8" s="210"/>
      <c r="FJ8" s="210"/>
      <c r="FK8" s="210"/>
      <c r="FL8" s="210"/>
      <c r="FM8" s="210"/>
      <c r="FN8" s="210"/>
      <c r="FO8" s="210"/>
      <c r="FP8" s="210"/>
      <c r="FQ8" s="210"/>
      <c r="FR8" s="210"/>
      <c r="FS8" s="210"/>
      <c r="FT8" s="210"/>
      <c r="FU8" s="210"/>
      <c r="FV8" s="210"/>
      <c r="FW8" s="210"/>
      <c r="FX8" s="210"/>
      <c r="FY8" s="210"/>
      <c r="FZ8" s="210"/>
      <c r="GA8" s="210"/>
      <c r="GB8" s="210"/>
      <c r="GC8" s="210"/>
      <c r="GD8" s="210"/>
      <c r="GE8" s="210"/>
      <c r="GF8" s="210"/>
      <c r="GG8" s="210"/>
      <c r="GH8" s="210"/>
      <c r="GI8" s="210"/>
      <c r="GJ8" s="210"/>
      <c r="GK8" s="210"/>
      <c r="GL8" s="210"/>
      <c r="GM8" s="210"/>
      <c r="GN8" s="210"/>
      <c r="GO8" s="210"/>
      <c r="GP8" s="210"/>
      <c r="GQ8" s="210"/>
      <c r="GR8" s="210"/>
      <c r="GS8" s="210"/>
      <c r="GT8" s="210"/>
      <c r="GU8" s="210"/>
      <c r="GV8" s="210"/>
      <c r="GW8" s="210"/>
      <c r="GX8" s="210"/>
      <c r="GY8" s="210"/>
      <c r="GZ8" s="210"/>
      <c r="HA8" s="210"/>
      <c r="HB8" s="210"/>
      <c r="HC8" s="210"/>
      <c r="HD8" s="210"/>
      <c r="HE8" s="210"/>
      <c r="HF8" s="210"/>
      <c r="HG8" s="210"/>
      <c r="HH8" s="210"/>
      <c r="HI8" s="210"/>
      <c r="HJ8" s="210"/>
      <c r="HK8" s="210"/>
      <c r="HL8" s="210"/>
      <c r="HM8" s="210"/>
      <c r="HN8" s="210"/>
      <c r="HO8" s="210"/>
      <c r="HP8" s="210"/>
      <c r="HQ8" s="210"/>
      <c r="HR8" s="210"/>
      <c r="HS8" s="210"/>
      <c r="HT8" s="210"/>
      <c r="HU8" s="210"/>
      <c r="HV8" s="210"/>
      <c r="HW8" s="210"/>
      <c r="HX8" s="210"/>
      <c r="HY8" s="210"/>
      <c r="HZ8" s="210"/>
      <c r="IA8" s="210"/>
      <c r="IB8" s="210"/>
      <c r="IC8" s="210"/>
      <c r="ID8" s="210"/>
      <c r="IE8" s="210"/>
      <c r="IF8" s="210"/>
      <c r="IG8" s="210"/>
      <c r="IH8" s="210"/>
      <c r="II8" s="210"/>
      <c r="IJ8" s="210"/>
      <c r="IK8" s="210"/>
      <c r="IL8" s="210"/>
      <c r="IM8" s="210"/>
      <c r="IN8" s="210"/>
      <c r="IO8" s="210"/>
      <c r="IP8" s="210"/>
      <c r="IQ8" s="210"/>
      <c r="IR8" s="210"/>
      <c r="IS8" s="210"/>
    </row>
    <row r="9" spans="1:253" ht="36.75" customHeight="1">
      <c r="A9" s="344"/>
      <c r="B9" s="1958" t="s">
        <v>754</v>
      </c>
      <c r="C9" s="1959"/>
      <c r="D9" s="566">
        <f>説明書!G16</f>
        <v>5618781</v>
      </c>
      <c r="E9" s="566"/>
      <c r="F9" s="567">
        <f t="shared" si="0"/>
        <v>24.435692849727587</v>
      </c>
      <c r="G9" s="568"/>
      <c r="H9" s="210"/>
      <c r="I9" s="210"/>
      <c r="J9" s="210"/>
      <c r="K9" s="210"/>
      <c r="L9" s="210"/>
      <c r="M9" s="210"/>
      <c r="N9" s="210"/>
      <c r="O9" s="210"/>
      <c r="P9" s="210"/>
      <c r="Q9" s="210"/>
      <c r="R9" s="210"/>
      <c r="S9" s="210"/>
      <c r="T9" s="210"/>
      <c r="U9" s="210"/>
      <c r="V9" s="210"/>
      <c r="W9" s="210"/>
      <c r="X9" s="210"/>
      <c r="Y9" s="210"/>
      <c r="Z9" s="210"/>
      <c r="AA9" s="210"/>
      <c r="AB9" s="210"/>
      <c r="AC9" s="210"/>
      <c r="AD9" s="210"/>
      <c r="AE9" s="210"/>
      <c r="AF9" s="210"/>
      <c r="AG9" s="210"/>
      <c r="AH9" s="210"/>
      <c r="AI9" s="210"/>
      <c r="AJ9" s="210"/>
      <c r="AK9" s="210"/>
      <c r="AL9" s="210"/>
      <c r="AM9" s="210"/>
      <c r="AN9" s="210"/>
      <c r="AO9" s="210"/>
      <c r="AP9" s="210"/>
      <c r="AQ9" s="210"/>
      <c r="AR9" s="210"/>
      <c r="AS9" s="210"/>
      <c r="AT9" s="210"/>
      <c r="AU9" s="210"/>
      <c r="AV9" s="210"/>
      <c r="AW9" s="210"/>
      <c r="AX9" s="210"/>
      <c r="AY9" s="210"/>
      <c r="AZ9" s="210"/>
      <c r="BA9" s="210"/>
      <c r="BB9" s="210"/>
      <c r="BC9" s="210"/>
      <c r="BD9" s="210"/>
      <c r="BE9" s="210"/>
      <c r="BF9" s="210"/>
      <c r="BG9" s="210"/>
      <c r="BH9" s="210"/>
      <c r="BI9" s="210"/>
      <c r="BJ9" s="210"/>
      <c r="BK9" s="210"/>
      <c r="BL9" s="210"/>
      <c r="BM9" s="210"/>
      <c r="BN9" s="210"/>
      <c r="BO9" s="210"/>
      <c r="BP9" s="210"/>
      <c r="BQ9" s="210"/>
      <c r="BR9" s="210"/>
      <c r="BS9" s="210"/>
      <c r="BT9" s="210"/>
      <c r="BU9" s="210"/>
      <c r="BV9" s="210"/>
      <c r="BW9" s="210"/>
      <c r="BX9" s="210"/>
      <c r="BY9" s="210"/>
      <c r="BZ9" s="210"/>
      <c r="CA9" s="210"/>
      <c r="CB9" s="210"/>
      <c r="CC9" s="210"/>
      <c r="CD9" s="210"/>
      <c r="CE9" s="210"/>
      <c r="CF9" s="210"/>
      <c r="CG9" s="210"/>
      <c r="CH9" s="210"/>
      <c r="CI9" s="210"/>
      <c r="CJ9" s="210"/>
      <c r="CK9" s="210"/>
      <c r="CL9" s="210"/>
      <c r="CM9" s="210"/>
      <c r="CN9" s="210"/>
      <c r="CO9" s="210"/>
      <c r="CP9" s="210"/>
      <c r="CQ9" s="210"/>
      <c r="CR9" s="210"/>
      <c r="CS9" s="210"/>
      <c r="CT9" s="210"/>
      <c r="CU9" s="210"/>
      <c r="CV9" s="210"/>
      <c r="CW9" s="210"/>
      <c r="CX9" s="210"/>
      <c r="CY9" s="210"/>
      <c r="CZ9" s="210"/>
      <c r="DA9" s="210"/>
      <c r="DB9" s="210"/>
      <c r="DC9" s="210"/>
      <c r="DD9" s="210"/>
      <c r="DE9" s="210"/>
      <c r="DF9" s="210"/>
      <c r="DG9" s="210"/>
      <c r="DH9" s="210"/>
      <c r="DI9" s="210"/>
      <c r="DJ9" s="210"/>
      <c r="DK9" s="210"/>
      <c r="DL9" s="210"/>
      <c r="DM9" s="210"/>
      <c r="DN9" s="210"/>
      <c r="DO9" s="210"/>
      <c r="DP9" s="210"/>
      <c r="DQ9" s="210"/>
      <c r="DR9" s="210"/>
      <c r="DS9" s="210"/>
      <c r="DT9" s="210"/>
      <c r="DU9" s="210"/>
      <c r="DV9" s="210"/>
      <c r="DW9" s="210"/>
      <c r="DX9" s="210"/>
      <c r="DY9" s="210"/>
      <c r="DZ9" s="210"/>
      <c r="EA9" s="210"/>
      <c r="EB9" s="210"/>
      <c r="EC9" s="210"/>
      <c r="ED9" s="210"/>
      <c r="EE9" s="210"/>
      <c r="EF9" s="210"/>
      <c r="EG9" s="210"/>
      <c r="EH9" s="210"/>
      <c r="EI9" s="210"/>
      <c r="EJ9" s="210"/>
      <c r="EK9" s="210"/>
      <c r="EL9" s="210"/>
      <c r="EM9" s="210"/>
      <c r="EN9" s="210"/>
      <c r="EO9" s="210"/>
      <c r="EP9" s="210"/>
      <c r="EQ9" s="210"/>
      <c r="ER9" s="210"/>
      <c r="ES9" s="210"/>
      <c r="ET9" s="210"/>
      <c r="EU9" s="210"/>
      <c r="EV9" s="210"/>
      <c r="EW9" s="210"/>
      <c r="EX9" s="210"/>
      <c r="EY9" s="210"/>
      <c r="EZ9" s="210"/>
      <c r="FA9" s="210"/>
      <c r="FB9" s="210"/>
      <c r="FC9" s="210"/>
      <c r="FD9" s="210"/>
      <c r="FE9" s="210"/>
      <c r="FF9" s="210"/>
      <c r="FG9" s="210"/>
      <c r="FH9" s="210"/>
      <c r="FI9" s="210"/>
      <c r="FJ9" s="210"/>
      <c r="FK9" s="210"/>
      <c r="FL9" s="210"/>
      <c r="FM9" s="210"/>
      <c r="FN9" s="210"/>
      <c r="FO9" s="210"/>
      <c r="FP9" s="210"/>
      <c r="FQ9" s="210"/>
      <c r="FR9" s="210"/>
      <c r="FS9" s="210"/>
      <c r="FT9" s="210"/>
      <c r="FU9" s="210"/>
      <c r="FV9" s="210"/>
      <c r="FW9" s="210"/>
      <c r="FX9" s="210"/>
      <c r="FY9" s="210"/>
      <c r="FZ9" s="210"/>
      <c r="GA9" s="210"/>
      <c r="GB9" s="210"/>
      <c r="GC9" s="210"/>
      <c r="GD9" s="210"/>
      <c r="GE9" s="210"/>
      <c r="GF9" s="210"/>
      <c r="GG9" s="210"/>
      <c r="GH9" s="210"/>
      <c r="GI9" s="210"/>
      <c r="GJ9" s="210"/>
      <c r="GK9" s="210"/>
      <c r="GL9" s="210"/>
      <c r="GM9" s="210"/>
      <c r="GN9" s="210"/>
      <c r="GO9" s="210"/>
      <c r="GP9" s="210"/>
      <c r="GQ9" s="210"/>
      <c r="GR9" s="210"/>
      <c r="GS9" s="210"/>
      <c r="GT9" s="210"/>
      <c r="GU9" s="210"/>
      <c r="GV9" s="210"/>
      <c r="GW9" s="210"/>
      <c r="GX9" s="210"/>
      <c r="GY9" s="210"/>
      <c r="GZ9" s="210"/>
      <c r="HA9" s="210"/>
      <c r="HB9" s="210"/>
      <c r="HC9" s="210"/>
      <c r="HD9" s="210"/>
      <c r="HE9" s="210"/>
      <c r="HF9" s="210"/>
      <c r="HG9" s="210"/>
      <c r="HH9" s="210"/>
      <c r="HI9" s="210"/>
      <c r="HJ9" s="210"/>
      <c r="HK9" s="210"/>
      <c r="HL9" s="210"/>
      <c r="HM9" s="210"/>
      <c r="HN9" s="210"/>
      <c r="HO9" s="210"/>
      <c r="HP9" s="210"/>
      <c r="HQ9" s="210"/>
      <c r="HR9" s="210"/>
      <c r="HS9" s="210"/>
      <c r="HT9" s="210"/>
      <c r="HU9" s="210"/>
      <c r="HV9" s="210"/>
      <c r="HW9" s="210"/>
      <c r="HX9" s="210"/>
      <c r="HY9" s="210"/>
      <c r="HZ9" s="210"/>
      <c r="IA9" s="210"/>
      <c r="IB9" s="210"/>
      <c r="IC9" s="210"/>
      <c r="ID9" s="210"/>
      <c r="IE9" s="210"/>
      <c r="IF9" s="210"/>
      <c r="IG9" s="210"/>
      <c r="IH9" s="210"/>
      <c r="II9" s="210"/>
      <c r="IJ9" s="210"/>
      <c r="IK9" s="210"/>
      <c r="IL9" s="210"/>
      <c r="IM9" s="210"/>
      <c r="IN9" s="210"/>
      <c r="IO9" s="210"/>
      <c r="IP9" s="210"/>
      <c r="IQ9" s="210"/>
      <c r="IR9" s="210"/>
      <c r="IS9" s="210"/>
    </row>
    <row r="10" spans="1:253" ht="36.75" customHeight="1">
      <c r="A10" s="1960" t="s">
        <v>70</v>
      </c>
      <c r="B10" s="1958" t="s">
        <v>755</v>
      </c>
      <c r="C10" s="1959"/>
      <c r="D10" s="566">
        <f>説明書!G25</f>
        <v>570593</v>
      </c>
      <c r="E10" s="566"/>
      <c r="F10" s="567">
        <f t="shared" si="0"/>
        <v>2.4814697868104512</v>
      </c>
      <c r="G10" s="568"/>
      <c r="H10" s="210"/>
      <c r="I10" s="210"/>
      <c r="J10" s="210"/>
      <c r="K10" s="210"/>
      <c r="L10" s="210"/>
      <c r="M10" s="210"/>
      <c r="N10" s="210"/>
      <c r="O10" s="210"/>
      <c r="P10" s="210"/>
      <c r="Q10" s="210"/>
      <c r="R10" s="210"/>
      <c r="S10" s="210"/>
      <c r="T10" s="210"/>
      <c r="U10" s="210"/>
      <c r="V10" s="210"/>
      <c r="W10" s="210"/>
      <c r="X10" s="210"/>
      <c r="Y10" s="210"/>
      <c r="Z10" s="210"/>
      <c r="AA10" s="210"/>
      <c r="AB10" s="210"/>
      <c r="AC10" s="210"/>
      <c r="AD10" s="210"/>
      <c r="AE10" s="210"/>
      <c r="AF10" s="210"/>
      <c r="AG10" s="210"/>
      <c r="AH10" s="210"/>
      <c r="AI10" s="210"/>
      <c r="AJ10" s="210"/>
      <c r="AK10" s="210"/>
      <c r="AL10" s="210"/>
      <c r="AM10" s="210"/>
      <c r="AN10" s="210"/>
      <c r="AO10" s="210"/>
      <c r="AP10" s="210"/>
      <c r="AQ10" s="210"/>
      <c r="AR10" s="210"/>
      <c r="AS10" s="210"/>
      <c r="AT10" s="210"/>
      <c r="AU10" s="210"/>
      <c r="AV10" s="210"/>
      <c r="AW10" s="210"/>
      <c r="AX10" s="210"/>
      <c r="AY10" s="210"/>
      <c r="AZ10" s="210"/>
      <c r="BA10" s="210"/>
      <c r="BB10" s="210"/>
      <c r="BC10" s="210"/>
      <c r="BD10" s="210"/>
      <c r="BE10" s="210"/>
      <c r="BF10" s="210"/>
      <c r="BG10" s="210"/>
      <c r="BH10" s="210"/>
      <c r="BI10" s="210"/>
      <c r="BJ10" s="210"/>
      <c r="BK10" s="210"/>
      <c r="BL10" s="210"/>
      <c r="BM10" s="210"/>
      <c r="BN10" s="210"/>
      <c r="BO10" s="210"/>
      <c r="BP10" s="210"/>
      <c r="BQ10" s="210"/>
      <c r="BR10" s="210"/>
      <c r="BS10" s="210"/>
      <c r="BT10" s="210"/>
      <c r="BU10" s="210"/>
      <c r="BV10" s="210"/>
      <c r="BW10" s="210"/>
      <c r="BX10" s="210"/>
      <c r="BY10" s="210"/>
      <c r="BZ10" s="210"/>
      <c r="CA10" s="210"/>
      <c r="CB10" s="210"/>
      <c r="CC10" s="210"/>
      <c r="CD10" s="210"/>
      <c r="CE10" s="210"/>
      <c r="CF10" s="210"/>
      <c r="CG10" s="210"/>
      <c r="CH10" s="210"/>
      <c r="CI10" s="210"/>
      <c r="CJ10" s="210"/>
      <c r="CK10" s="210"/>
      <c r="CL10" s="210"/>
      <c r="CM10" s="210"/>
      <c r="CN10" s="210"/>
      <c r="CO10" s="210"/>
      <c r="CP10" s="210"/>
      <c r="CQ10" s="210"/>
      <c r="CR10" s="210"/>
      <c r="CS10" s="210"/>
      <c r="CT10" s="210"/>
      <c r="CU10" s="210"/>
      <c r="CV10" s="210"/>
      <c r="CW10" s="210"/>
      <c r="CX10" s="210"/>
      <c r="CY10" s="210"/>
      <c r="CZ10" s="210"/>
      <c r="DA10" s="210"/>
      <c r="DB10" s="210"/>
      <c r="DC10" s="210"/>
      <c r="DD10" s="210"/>
      <c r="DE10" s="210"/>
      <c r="DF10" s="210"/>
      <c r="DG10" s="210"/>
      <c r="DH10" s="210"/>
      <c r="DI10" s="210"/>
      <c r="DJ10" s="210"/>
      <c r="DK10" s="210"/>
      <c r="DL10" s="210"/>
      <c r="DM10" s="210"/>
      <c r="DN10" s="210"/>
      <c r="DO10" s="210"/>
      <c r="DP10" s="210"/>
      <c r="DQ10" s="210"/>
      <c r="DR10" s="210"/>
      <c r="DS10" s="210"/>
      <c r="DT10" s="210"/>
      <c r="DU10" s="210"/>
      <c r="DV10" s="210"/>
      <c r="DW10" s="210"/>
      <c r="DX10" s="210"/>
      <c r="DY10" s="210"/>
      <c r="DZ10" s="210"/>
      <c r="EA10" s="210"/>
      <c r="EB10" s="210"/>
      <c r="EC10" s="210"/>
      <c r="ED10" s="210"/>
      <c r="EE10" s="210"/>
      <c r="EF10" s="210"/>
      <c r="EG10" s="210"/>
      <c r="EH10" s="210"/>
      <c r="EI10" s="210"/>
      <c r="EJ10" s="210"/>
      <c r="EK10" s="210"/>
      <c r="EL10" s="210"/>
      <c r="EM10" s="210"/>
      <c r="EN10" s="210"/>
      <c r="EO10" s="210"/>
      <c r="EP10" s="210"/>
      <c r="EQ10" s="210"/>
      <c r="ER10" s="210"/>
      <c r="ES10" s="210"/>
      <c r="ET10" s="210"/>
      <c r="EU10" s="210"/>
      <c r="EV10" s="210"/>
      <c r="EW10" s="210"/>
      <c r="EX10" s="210"/>
      <c r="EY10" s="210"/>
      <c r="EZ10" s="210"/>
      <c r="FA10" s="210"/>
      <c r="FB10" s="210"/>
      <c r="FC10" s="210"/>
      <c r="FD10" s="210"/>
      <c r="FE10" s="210"/>
      <c r="FF10" s="210"/>
      <c r="FG10" s="210"/>
      <c r="FH10" s="210"/>
      <c r="FI10" s="210"/>
      <c r="FJ10" s="210"/>
      <c r="FK10" s="210"/>
      <c r="FL10" s="210"/>
      <c r="FM10" s="210"/>
      <c r="FN10" s="210"/>
      <c r="FO10" s="210"/>
      <c r="FP10" s="210"/>
      <c r="FQ10" s="210"/>
      <c r="FR10" s="210"/>
      <c r="FS10" s="210"/>
      <c r="FT10" s="210"/>
      <c r="FU10" s="210"/>
      <c r="FV10" s="210"/>
      <c r="FW10" s="210"/>
      <c r="FX10" s="210"/>
      <c r="FY10" s="210"/>
      <c r="FZ10" s="210"/>
      <c r="GA10" s="210"/>
      <c r="GB10" s="210"/>
      <c r="GC10" s="210"/>
      <c r="GD10" s="210"/>
      <c r="GE10" s="210"/>
      <c r="GF10" s="210"/>
      <c r="GG10" s="210"/>
      <c r="GH10" s="210"/>
      <c r="GI10" s="210"/>
      <c r="GJ10" s="210"/>
      <c r="GK10" s="210"/>
      <c r="GL10" s="210"/>
      <c r="GM10" s="210"/>
      <c r="GN10" s="210"/>
      <c r="GO10" s="210"/>
      <c r="GP10" s="210"/>
      <c r="GQ10" s="210"/>
      <c r="GR10" s="210"/>
      <c r="GS10" s="210"/>
      <c r="GT10" s="210"/>
      <c r="GU10" s="210"/>
      <c r="GV10" s="210"/>
      <c r="GW10" s="210"/>
      <c r="GX10" s="210"/>
      <c r="GY10" s="210"/>
      <c r="GZ10" s="210"/>
      <c r="HA10" s="210"/>
      <c r="HB10" s="210"/>
      <c r="HC10" s="210"/>
      <c r="HD10" s="210"/>
      <c r="HE10" s="210"/>
      <c r="HF10" s="210"/>
      <c r="HG10" s="210"/>
      <c r="HH10" s="210"/>
      <c r="HI10" s="210"/>
      <c r="HJ10" s="210"/>
      <c r="HK10" s="210"/>
      <c r="HL10" s="210"/>
      <c r="HM10" s="210"/>
      <c r="HN10" s="210"/>
      <c r="HO10" s="210"/>
      <c r="HP10" s="210"/>
      <c r="HQ10" s="210"/>
      <c r="HR10" s="210"/>
      <c r="HS10" s="210"/>
      <c r="HT10" s="210"/>
      <c r="HU10" s="210"/>
      <c r="HV10" s="210"/>
      <c r="HW10" s="210"/>
      <c r="HX10" s="210"/>
      <c r="HY10" s="210"/>
      <c r="HZ10" s="210"/>
      <c r="IA10" s="210"/>
      <c r="IB10" s="210"/>
      <c r="IC10" s="210"/>
      <c r="ID10" s="210"/>
      <c r="IE10" s="210"/>
      <c r="IF10" s="210"/>
      <c r="IG10" s="210"/>
      <c r="IH10" s="210"/>
      <c r="II10" s="210"/>
      <c r="IJ10" s="210"/>
      <c r="IK10" s="210"/>
      <c r="IL10" s="210"/>
      <c r="IM10" s="210"/>
      <c r="IN10" s="210"/>
      <c r="IO10" s="210"/>
      <c r="IP10" s="210"/>
      <c r="IQ10" s="210"/>
      <c r="IR10" s="210"/>
      <c r="IS10" s="210"/>
    </row>
    <row r="11" spans="1:253" ht="36.75" customHeight="1">
      <c r="A11" s="1960"/>
      <c r="B11" s="1962" t="s">
        <v>708</v>
      </c>
      <c r="C11" s="241" t="s">
        <v>667</v>
      </c>
      <c r="D11" s="566">
        <f>説明書!G41</f>
        <v>208435</v>
      </c>
      <c r="E11" s="566"/>
      <c r="F11" s="567">
        <f t="shared" si="0"/>
        <v>0.90646950630981515</v>
      </c>
      <c r="G11" s="568"/>
      <c r="H11" s="210"/>
      <c r="I11" s="210"/>
      <c r="J11" s="210"/>
      <c r="K11" s="210"/>
      <c r="L11" s="210"/>
      <c r="M11" s="210"/>
      <c r="N11" s="210"/>
      <c r="O11" s="210"/>
      <c r="P11" s="210"/>
      <c r="Q11" s="210"/>
      <c r="R11" s="210"/>
      <c r="S11" s="210"/>
      <c r="T11" s="210"/>
      <c r="U11" s="210"/>
      <c r="V11" s="210"/>
      <c r="W11" s="210"/>
      <c r="X11" s="210"/>
      <c r="Y11" s="210"/>
      <c r="Z11" s="210"/>
      <c r="AA11" s="210"/>
      <c r="AB11" s="210"/>
      <c r="AC11" s="210"/>
      <c r="AD11" s="210"/>
      <c r="AE11" s="210"/>
      <c r="AF11" s="210"/>
      <c r="AG11" s="210"/>
      <c r="AH11" s="210"/>
      <c r="AI11" s="210"/>
      <c r="AJ11" s="210"/>
      <c r="AK11" s="210"/>
      <c r="AL11" s="210"/>
      <c r="AM11" s="210"/>
      <c r="AN11" s="210"/>
      <c r="AO11" s="210"/>
      <c r="AP11" s="210"/>
      <c r="AQ11" s="210"/>
      <c r="AR11" s="210"/>
      <c r="AS11" s="210"/>
      <c r="AT11" s="210"/>
      <c r="AU11" s="210"/>
      <c r="AV11" s="210"/>
      <c r="AW11" s="210"/>
      <c r="AX11" s="210"/>
      <c r="AY11" s="210"/>
      <c r="AZ11" s="210"/>
      <c r="BA11" s="210"/>
      <c r="BB11" s="210"/>
      <c r="BC11" s="210"/>
      <c r="BD11" s="210"/>
      <c r="BE11" s="210"/>
      <c r="BF11" s="210"/>
      <c r="BG11" s="210"/>
      <c r="BH11" s="210"/>
      <c r="BI11" s="210"/>
      <c r="BJ11" s="210"/>
      <c r="BK11" s="210"/>
      <c r="BL11" s="210"/>
      <c r="BM11" s="210"/>
      <c r="BN11" s="210"/>
      <c r="BO11" s="210"/>
      <c r="BP11" s="210"/>
      <c r="BQ11" s="210"/>
      <c r="BR11" s="210"/>
      <c r="BS11" s="210"/>
      <c r="BT11" s="210"/>
      <c r="BU11" s="210"/>
      <c r="BV11" s="210"/>
      <c r="BW11" s="210"/>
      <c r="BX11" s="210"/>
      <c r="BY11" s="210"/>
      <c r="BZ11" s="210"/>
      <c r="CA11" s="210"/>
      <c r="CB11" s="210"/>
      <c r="CC11" s="210"/>
      <c r="CD11" s="210"/>
      <c r="CE11" s="210"/>
      <c r="CF11" s="210"/>
      <c r="CG11" s="210"/>
      <c r="CH11" s="210"/>
      <c r="CI11" s="210"/>
      <c r="CJ11" s="210"/>
      <c r="CK11" s="210"/>
      <c r="CL11" s="210"/>
      <c r="CM11" s="210"/>
      <c r="CN11" s="210"/>
      <c r="CO11" s="210"/>
      <c r="CP11" s="210"/>
      <c r="CQ11" s="210"/>
      <c r="CR11" s="210"/>
      <c r="CS11" s="210"/>
      <c r="CT11" s="210"/>
      <c r="CU11" s="210"/>
      <c r="CV11" s="210"/>
      <c r="CW11" s="210"/>
      <c r="CX11" s="210"/>
      <c r="CY11" s="210"/>
      <c r="CZ11" s="210"/>
      <c r="DA11" s="210"/>
      <c r="DB11" s="210"/>
      <c r="DC11" s="210"/>
      <c r="DD11" s="210"/>
      <c r="DE11" s="210"/>
      <c r="DF11" s="210"/>
      <c r="DG11" s="210"/>
      <c r="DH11" s="210"/>
      <c r="DI11" s="210"/>
      <c r="DJ11" s="210"/>
      <c r="DK11" s="210"/>
      <c r="DL11" s="210"/>
      <c r="DM11" s="210"/>
      <c r="DN11" s="210"/>
      <c r="DO11" s="210"/>
      <c r="DP11" s="210"/>
      <c r="DQ11" s="210"/>
      <c r="DR11" s="210"/>
      <c r="DS11" s="210"/>
      <c r="DT11" s="210"/>
      <c r="DU11" s="210"/>
      <c r="DV11" s="210"/>
      <c r="DW11" s="210"/>
      <c r="DX11" s="210"/>
      <c r="DY11" s="210"/>
      <c r="DZ11" s="210"/>
      <c r="EA11" s="210"/>
      <c r="EB11" s="210"/>
      <c r="EC11" s="210"/>
      <c r="ED11" s="210"/>
      <c r="EE11" s="210"/>
      <c r="EF11" s="210"/>
      <c r="EG11" s="210"/>
      <c r="EH11" s="210"/>
      <c r="EI11" s="210"/>
      <c r="EJ11" s="210"/>
      <c r="EK11" s="210"/>
      <c r="EL11" s="210"/>
      <c r="EM11" s="210"/>
      <c r="EN11" s="210"/>
      <c r="EO11" s="210"/>
      <c r="EP11" s="210"/>
      <c r="EQ11" s="210"/>
      <c r="ER11" s="210"/>
      <c r="ES11" s="210"/>
      <c r="ET11" s="210"/>
      <c r="EU11" s="210"/>
      <c r="EV11" s="210"/>
      <c r="EW11" s="210"/>
      <c r="EX11" s="210"/>
      <c r="EY11" s="210"/>
      <c r="EZ11" s="210"/>
      <c r="FA11" s="210"/>
      <c r="FB11" s="210"/>
      <c r="FC11" s="210"/>
      <c r="FD11" s="210"/>
      <c r="FE11" s="210"/>
      <c r="FF11" s="210"/>
      <c r="FG11" s="210"/>
      <c r="FH11" s="210"/>
      <c r="FI11" s="210"/>
      <c r="FJ11" s="210"/>
      <c r="FK11" s="210"/>
      <c r="FL11" s="210"/>
      <c r="FM11" s="210"/>
      <c r="FN11" s="210"/>
      <c r="FO11" s="210"/>
      <c r="FP11" s="210"/>
      <c r="FQ11" s="210"/>
      <c r="FR11" s="210"/>
      <c r="FS11" s="210"/>
      <c r="FT11" s="210"/>
      <c r="FU11" s="210"/>
      <c r="FV11" s="210"/>
      <c r="FW11" s="210"/>
      <c r="FX11" s="210"/>
      <c r="FY11" s="210"/>
      <c r="FZ11" s="210"/>
      <c r="GA11" s="210"/>
      <c r="GB11" s="210"/>
      <c r="GC11" s="210"/>
      <c r="GD11" s="210"/>
      <c r="GE11" s="210"/>
      <c r="GF11" s="210"/>
      <c r="GG11" s="210"/>
      <c r="GH11" s="210"/>
      <c r="GI11" s="210"/>
      <c r="GJ11" s="210"/>
      <c r="GK11" s="210"/>
      <c r="GL11" s="210"/>
      <c r="GM11" s="210"/>
      <c r="GN11" s="210"/>
      <c r="GO11" s="210"/>
      <c r="GP11" s="210"/>
      <c r="GQ11" s="210"/>
      <c r="GR11" s="210"/>
      <c r="GS11" s="210"/>
      <c r="GT11" s="210"/>
      <c r="GU11" s="210"/>
      <c r="GV11" s="210"/>
      <c r="GW11" s="210"/>
      <c r="GX11" s="210"/>
      <c r="GY11" s="210"/>
      <c r="GZ11" s="210"/>
      <c r="HA11" s="210"/>
      <c r="HB11" s="210"/>
      <c r="HC11" s="210"/>
      <c r="HD11" s="210"/>
      <c r="HE11" s="210"/>
      <c r="HF11" s="210"/>
      <c r="HG11" s="210"/>
      <c r="HH11" s="210"/>
      <c r="HI11" s="210"/>
      <c r="HJ11" s="210"/>
      <c r="HK11" s="210"/>
      <c r="HL11" s="210"/>
      <c r="HM11" s="210"/>
      <c r="HN11" s="210"/>
      <c r="HO11" s="210"/>
      <c r="HP11" s="210"/>
      <c r="HQ11" s="210"/>
      <c r="HR11" s="210"/>
      <c r="HS11" s="210"/>
      <c r="HT11" s="210"/>
      <c r="HU11" s="210"/>
      <c r="HV11" s="210"/>
      <c r="HW11" s="210"/>
      <c r="HX11" s="210"/>
      <c r="HY11" s="210"/>
      <c r="HZ11" s="210"/>
      <c r="IA11" s="210"/>
      <c r="IB11" s="210"/>
      <c r="IC11" s="210"/>
      <c r="ID11" s="210"/>
      <c r="IE11" s="210"/>
      <c r="IF11" s="210"/>
      <c r="IG11" s="210"/>
      <c r="IH11" s="210"/>
      <c r="II11" s="210"/>
      <c r="IJ11" s="210"/>
      <c r="IK11" s="210"/>
      <c r="IL11" s="210"/>
      <c r="IM11" s="210"/>
      <c r="IN11" s="210"/>
      <c r="IO11" s="210"/>
      <c r="IP11" s="210"/>
      <c r="IQ11" s="210"/>
      <c r="IR11" s="210"/>
      <c r="IS11" s="210"/>
    </row>
    <row r="12" spans="1:253" ht="36.75" customHeight="1">
      <c r="A12" s="1960"/>
      <c r="B12" s="1963"/>
      <c r="C12" s="241" t="s">
        <v>696</v>
      </c>
      <c r="D12" s="566">
        <f>説明書!G45</f>
        <v>4942</v>
      </c>
      <c r="E12" s="566"/>
      <c r="F12" s="567">
        <f t="shared" si="0"/>
        <v>2.1492418740533533E-2</v>
      </c>
      <c r="G12" s="568"/>
      <c r="H12" s="210"/>
      <c r="I12" s="210"/>
      <c r="J12" s="210"/>
      <c r="K12" s="210"/>
      <c r="L12" s="210"/>
      <c r="M12" s="210"/>
      <c r="N12" s="210"/>
      <c r="O12" s="210"/>
      <c r="P12" s="210"/>
      <c r="Q12" s="210"/>
      <c r="R12" s="210"/>
      <c r="S12" s="210"/>
      <c r="T12" s="210"/>
      <c r="U12" s="210"/>
      <c r="V12" s="210"/>
      <c r="W12" s="210"/>
      <c r="X12" s="210"/>
      <c r="Y12" s="210"/>
      <c r="Z12" s="210"/>
      <c r="AA12" s="210"/>
      <c r="AB12" s="210"/>
      <c r="AC12" s="210"/>
      <c r="AD12" s="210"/>
      <c r="AE12" s="210"/>
      <c r="AF12" s="210"/>
      <c r="AG12" s="210"/>
      <c r="AH12" s="210"/>
      <c r="AI12" s="210"/>
      <c r="AJ12" s="210"/>
      <c r="AK12" s="210"/>
      <c r="AL12" s="210"/>
      <c r="AM12" s="210"/>
      <c r="AN12" s="210"/>
      <c r="AO12" s="210"/>
      <c r="AP12" s="210"/>
      <c r="AQ12" s="210"/>
      <c r="AR12" s="210"/>
      <c r="AS12" s="210"/>
      <c r="AT12" s="210"/>
      <c r="AU12" s="210"/>
      <c r="AV12" s="210"/>
      <c r="AW12" s="210"/>
      <c r="AX12" s="210"/>
      <c r="AY12" s="210"/>
      <c r="AZ12" s="210"/>
      <c r="BA12" s="210"/>
      <c r="BB12" s="210"/>
      <c r="BC12" s="210"/>
      <c r="BD12" s="210"/>
      <c r="BE12" s="210"/>
      <c r="BF12" s="210"/>
      <c r="BG12" s="210"/>
      <c r="BH12" s="210"/>
      <c r="BI12" s="210"/>
      <c r="BJ12" s="210"/>
      <c r="BK12" s="210"/>
      <c r="BL12" s="210"/>
      <c r="BM12" s="210"/>
      <c r="BN12" s="210"/>
      <c r="BO12" s="210"/>
      <c r="BP12" s="210"/>
      <c r="BQ12" s="210"/>
      <c r="BR12" s="210"/>
      <c r="BS12" s="210"/>
      <c r="BT12" s="210"/>
      <c r="BU12" s="210"/>
      <c r="BV12" s="210"/>
      <c r="BW12" s="210"/>
      <c r="BX12" s="210"/>
      <c r="BY12" s="210"/>
      <c r="BZ12" s="210"/>
      <c r="CA12" s="210"/>
      <c r="CB12" s="210"/>
      <c r="CC12" s="210"/>
      <c r="CD12" s="210"/>
      <c r="CE12" s="210"/>
      <c r="CF12" s="210"/>
      <c r="CG12" s="210"/>
      <c r="CH12" s="210"/>
      <c r="CI12" s="210"/>
      <c r="CJ12" s="210"/>
      <c r="CK12" s="210"/>
      <c r="CL12" s="210"/>
      <c r="CM12" s="210"/>
      <c r="CN12" s="210"/>
      <c r="CO12" s="210"/>
      <c r="CP12" s="210"/>
      <c r="CQ12" s="210"/>
      <c r="CR12" s="210"/>
      <c r="CS12" s="210"/>
      <c r="CT12" s="210"/>
      <c r="CU12" s="210"/>
      <c r="CV12" s="210"/>
      <c r="CW12" s="210"/>
      <c r="CX12" s="210"/>
      <c r="CY12" s="210"/>
      <c r="CZ12" s="210"/>
      <c r="DA12" s="210"/>
      <c r="DB12" s="210"/>
      <c r="DC12" s="210"/>
      <c r="DD12" s="210"/>
      <c r="DE12" s="210"/>
      <c r="DF12" s="210"/>
      <c r="DG12" s="210"/>
      <c r="DH12" s="210"/>
      <c r="DI12" s="210"/>
      <c r="DJ12" s="210"/>
      <c r="DK12" s="210"/>
      <c r="DL12" s="210"/>
      <c r="DM12" s="210"/>
      <c r="DN12" s="210"/>
      <c r="DO12" s="210"/>
      <c r="DP12" s="210"/>
      <c r="DQ12" s="210"/>
      <c r="DR12" s="210"/>
      <c r="DS12" s="210"/>
      <c r="DT12" s="210"/>
      <c r="DU12" s="210"/>
      <c r="DV12" s="210"/>
      <c r="DW12" s="210"/>
      <c r="DX12" s="210"/>
      <c r="DY12" s="210"/>
      <c r="DZ12" s="210"/>
      <c r="EA12" s="210"/>
      <c r="EB12" s="210"/>
      <c r="EC12" s="210"/>
      <c r="ED12" s="210"/>
      <c r="EE12" s="210"/>
      <c r="EF12" s="210"/>
      <c r="EG12" s="210"/>
      <c r="EH12" s="210"/>
      <c r="EI12" s="210"/>
      <c r="EJ12" s="210"/>
      <c r="EK12" s="210"/>
      <c r="EL12" s="210"/>
      <c r="EM12" s="210"/>
      <c r="EN12" s="210"/>
      <c r="EO12" s="210"/>
      <c r="EP12" s="210"/>
      <c r="EQ12" s="210"/>
      <c r="ER12" s="210"/>
      <c r="ES12" s="210"/>
      <c r="ET12" s="210"/>
      <c r="EU12" s="210"/>
      <c r="EV12" s="210"/>
      <c r="EW12" s="210"/>
      <c r="EX12" s="210"/>
      <c r="EY12" s="210"/>
      <c r="EZ12" s="210"/>
      <c r="FA12" s="210"/>
      <c r="FB12" s="210"/>
      <c r="FC12" s="210"/>
      <c r="FD12" s="210"/>
      <c r="FE12" s="210"/>
      <c r="FF12" s="210"/>
      <c r="FG12" s="210"/>
      <c r="FH12" s="210"/>
      <c r="FI12" s="210"/>
      <c r="FJ12" s="210"/>
      <c r="FK12" s="210"/>
      <c r="FL12" s="210"/>
      <c r="FM12" s="210"/>
      <c r="FN12" s="210"/>
      <c r="FO12" s="210"/>
      <c r="FP12" s="210"/>
      <c r="FQ12" s="210"/>
      <c r="FR12" s="210"/>
      <c r="FS12" s="210"/>
      <c r="FT12" s="210"/>
      <c r="FU12" s="210"/>
      <c r="FV12" s="210"/>
      <c r="FW12" s="210"/>
      <c r="FX12" s="210"/>
      <c r="FY12" s="210"/>
      <c r="FZ12" s="210"/>
      <c r="GA12" s="210"/>
      <c r="GB12" s="210"/>
      <c r="GC12" s="210"/>
      <c r="GD12" s="210"/>
      <c r="GE12" s="210"/>
      <c r="GF12" s="210"/>
      <c r="GG12" s="210"/>
      <c r="GH12" s="210"/>
      <c r="GI12" s="210"/>
      <c r="GJ12" s="210"/>
      <c r="GK12" s="210"/>
      <c r="GL12" s="210"/>
      <c r="GM12" s="210"/>
      <c r="GN12" s="210"/>
      <c r="GO12" s="210"/>
      <c r="GP12" s="210"/>
      <c r="GQ12" s="210"/>
      <c r="GR12" s="210"/>
      <c r="GS12" s="210"/>
      <c r="GT12" s="210"/>
      <c r="GU12" s="210"/>
      <c r="GV12" s="210"/>
      <c r="GW12" s="210"/>
      <c r="GX12" s="210"/>
      <c r="GY12" s="210"/>
      <c r="GZ12" s="210"/>
      <c r="HA12" s="210"/>
      <c r="HB12" s="210"/>
      <c r="HC12" s="210"/>
      <c r="HD12" s="210"/>
      <c r="HE12" s="210"/>
      <c r="HF12" s="210"/>
      <c r="HG12" s="210"/>
      <c r="HH12" s="210"/>
      <c r="HI12" s="210"/>
      <c r="HJ12" s="210"/>
      <c r="HK12" s="210"/>
      <c r="HL12" s="210"/>
      <c r="HM12" s="210"/>
      <c r="HN12" s="210"/>
      <c r="HO12" s="210"/>
      <c r="HP12" s="210"/>
      <c r="HQ12" s="210"/>
      <c r="HR12" s="210"/>
      <c r="HS12" s="210"/>
      <c r="HT12" s="210"/>
      <c r="HU12" s="210"/>
      <c r="HV12" s="210"/>
      <c r="HW12" s="210"/>
      <c r="HX12" s="210"/>
      <c r="HY12" s="210"/>
      <c r="HZ12" s="210"/>
      <c r="IA12" s="210"/>
      <c r="IB12" s="210"/>
      <c r="IC12" s="210"/>
      <c r="ID12" s="210"/>
      <c r="IE12" s="210"/>
      <c r="IF12" s="210"/>
      <c r="IG12" s="210"/>
      <c r="IH12" s="210"/>
      <c r="II12" s="210"/>
      <c r="IJ12" s="210"/>
      <c r="IK12" s="210"/>
      <c r="IL12" s="210"/>
      <c r="IM12" s="210"/>
      <c r="IN12" s="210"/>
      <c r="IO12" s="210"/>
      <c r="IP12" s="210"/>
      <c r="IQ12" s="210"/>
      <c r="IR12" s="210"/>
      <c r="IS12" s="210"/>
    </row>
    <row r="13" spans="1:253" ht="36.75" customHeight="1">
      <c r="A13" s="1960"/>
      <c r="B13" s="1964"/>
      <c r="C13" s="241" t="s">
        <v>161</v>
      </c>
      <c r="D13" s="566">
        <f>説明書!G49</f>
        <v>171500</v>
      </c>
      <c r="E13" s="566"/>
      <c r="F13" s="567">
        <f t="shared" si="0"/>
        <v>0.74584172683154604</v>
      </c>
      <c r="G13" s="568"/>
      <c r="H13" s="210"/>
      <c r="I13" s="210"/>
      <c r="J13" s="210"/>
      <c r="K13" s="210"/>
      <c r="L13" s="210"/>
      <c r="M13" s="210"/>
      <c r="N13" s="210"/>
      <c r="O13" s="210"/>
      <c r="P13" s="210"/>
      <c r="Q13" s="210"/>
      <c r="R13" s="210"/>
      <c r="S13" s="210"/>
      <c r="T13" s="210"/>
      <c r="U13" s="210"/>
      <c r="V13" s="210"/>
      <c r="W13" s="210"/>
      <c r="X13" s="210"/>
      <c r="Y13" s="210"/>
      <c r="Z13" s="210"/>
      <c r="AA13" s="210"/>
      <c r="AB13" s="210"/>
      <c r="AC13" s="210"/>
      <c r="AD13" s="210"/>
      <c r="AE13" s="210"/>
      <c r="AF13" s="210"/>
      <c r="AG13" s="210"/>
      <c r="AH13" s="210"/>
      <c r="AI13" s="210"/>
      <c r="AJ13" s="210"/>
      <c r="AK13" s="210"/>
      <c r="AL13" s="210"/>
      <c r="AM13" s="210"/>
      <c r="AN13" s="210"/>
      <c r="AO13" s="210"/>
      <c r="AP13" s="210"/>
      <c r="AQ13" s="210"/>
      <c r="AR13" s="210"/>
      <c r="AS13" s="210"/>
      <c r="AT13" s="210"/>
      <c r="AU13" s="210"/>
      <c r="AV13" s="210"/>
      <c r="AW13" s="210"/>
      <c r="AX13" s="210"/>
      <c r="AY13" s="210"/>
      <c r="AZ13" s="210"/>
      <c r="BA13" s="210"/>
      <c r="BB13" s="210"/>
      <c r="BC13" s="210"/>
      <c r="BD13" s="210"/>
      <c r="BE13" s="210"/>
      <c r="BF13" s="210"/>
      <c r="BG13" s="210"/>
      <c r="BH13" s="210"/>
      <c r="BI13" s="210"/>
      <c r="BJ13" s="210"/>
      <c r="BK13" s="210"/>
      <c r="BL13" s="210"/>
      <c r="BM13" s="210"/>
      <c r="BN13" s="210"/>
      <c r="BO13" s="210"/>
      <c r="BP13" s="210"/>
      <c r="BQ13" s="210"/>
      <c r="BR13" s="210"/>
      <c r="BS13" s="210"/>
      <c r="BT13" s="210"/>
      <c r="BU13" s="210"/>
      <c r="BV13" s="210"/>
      <c r="BW13" s="210"/>
      <c r="BX13" s="210"/>
      <c r="BY13" s="210"/>
      <c r="BZ13" s="210"/>
      <c r="CA13" s="210"/>
      <c r="CB13" s="210"/>
      <c r="CC13" s="210"/>
      <c r="CD13" s="210"/>
      <c r="CE13" s="210"/>
      <c r="CF13" s="210"/>
      <c r="CG13" s="210"/>
      <c r="CH13" s="210"/>
      <c r="CI13" s="210"/>
      <c r="CJ13" s="210"/>
      <c r="CK13" s="210"/>
      <c r="CL13" s="210"/>
      <c r="CM13" s="210"/>
      <c r="CN13" s="210"/>
      <c r="CO13" s="210"/>
      <c r="CP13" s="210"/>
      <c r="CQ13" s="210"/>
      <c r="CR13" s="210"/>
      <c r="CS13" s="210"/>
      <c r="CT13" s="210"/>
      <c r="CU13" s="210"/>
      <c r="CV13" s="210"/>
      <c r="CW13" s="210"/>
      <c r="CX13" s="210"/>
      <c r="CY13" s="210"/>
      <c r="CZ13" s="210"/>
      <c r="DA13" s="210"/>
      <c r="DB13" s="210"/>
      <c r="DC13" s="210"/>
      <c r="DD13" s="210"/>
      <c r="DE13" s="210"/>
      <c r="DF13" s="210"/>
      <c r="DG13" s="210"/>
      <c r="DH13" s="210"/>
      <c r="DI13" s="210"/>
      <c r="DJ13" s="210"/>
      <c r="DK13" s="210"/>
      <c r="DL13" s="210"/>
      <c r="DM13" s="210"/>
      <c r="DN13" s="210"/>
      <c r="DO13" s="210"/>
      <c r="DP13" s="210"/>
      <c r="DQ13" s="210"/>
      <c r="DR13" s="210"/>
      <c r="DS13" s="210"/>
      <c r="DT13" s="210"/>
      <c r="DU13" s="210"/>
      <c r="DV13" s="210"/>
      <c r="DW13" s="210"/>
      <c r="DX13" s="210"/>
      <c r="DY13" s="210"/>
      <c r="DZ13" s="210"/>
      <c r="EA13" s="210"/>
      <c r="EB13" s="210"/>
      <c r="EC13" s="210"/>
      <c r="ED13" s="210"/>
      <c r="EE13" s="210"/>
      <c r="EF13" s="210"/>
      <c r="EG13" s="210"/>
      <c r="EH13" s="210"/>
      <c r="EI13" s="210"/>
      <c r="EJ13" s="210"/>
      <c r="EK13" s="210"/>
      <c r="EL13" s="210"/>
      <c r="EM13" s="210"/>
      <c r="EN13" s="210"/>
      <c r="EO13" s="210"/>
      <c r="EP13" s="210"/>
      <c r="EQ13" s="210"/>
      <c r="ER13" s="210"/>
      <c r="ES13" s="210"/>
      <c r="ET13" s="210"/>
      <c r="EU13" s="210"/>
      <c r="EV13" s="210"/>
      <c r="EW13" s="210"/>
      <c r="EX13" s="210"/>
      <c r="EY13" s="210"/>
      <c r="EZ13" s="210"/>
      <c r="FA13" s="210"/>
      <c r="FB13" s="210"/>
      <c r="FC13" s="210"/>
      <c r="FD13" s="210"/>
      <c r="FE13" s="210"/>
      <c r="FF13" s="210"/>
      <c r="FG13" s="210"/>
      <c r="FH13" s="210"/>
      <c r="FI13" s="210"/>
      <c r="FJ13" s="210"/>
      <c r="FK13" s="210"/>
      <c r="FL13" s="210"/>
      <c r="FM13" s="210"/>
      <c r="FN13" s="210"/>
      <c r="FO13" s="210"/>
      <c r="FP13" s="210"/>
      <c r="FQ13" s="210"/>
      <c r="FR13" s="210"/>
      <c r="FS13" s="210"/>
      <c r="FT13" s="210"/>
      <c r="FU13" s="210"/>
      <c r="FV13" s="210"/>
      <c r="FW13" s="210"/>
      <c r="FX13" s="210"/>
      <c r="FY13" s="210"/>
      <c r="FZ13" s="210"/>
      <c r="GA13" s="210"/>
      <c r="GB13" s="210"/>
      <c r="GC13" s="210"/>
      <c r="GD13" s="210"/>
      <c r="GE13" s="210"/>
      <c r="GF13" s="210"/>
      <c r="GG13" s="210"/>
      <c r="GH13" s="210"/>
      <c r="GI13" s="210"/>
      <c r="GJ13" s="210"/>
      <c r="GK13" s="210"/>
      <c r="GL13" s="210"/>
      <c r="GM13" s="210"/>
      <c r="GN13" s="210"/>
      <c r="GO13" s="210"/>
      <c r="GP13" s="210"/>
      <c r="GQ13" s="210"/>
      <c r="GR13" s="210"/>
      <c r="GS13" s="210"/>
      <c r="GT13" s="210"/>
      <c r="GU13" s="210"/>
      <c r="GV13" s="210"/>
      <c r="GW13" s="210"/>
      <c r="GX13" s="210"/>
      <c r="GY13" s="210"/>
      <c r="GZ13" s="210"/>
      <c r="HA13" s="210"/>
      <c r="HB13" s="210"/>
      <c r="HC13" s="210"/>
      <c r="HD13" s="210"/>
      <c r="HE13" s="210"/>
      <c r="HF13" s="210"/>
      <c r="HG13" s="210"/>
      <c r="HH13" s="210"/>
      <c r="HI13" s="210"/>
      <c r="HJ13" s="210"/>
      <c r="HK13" s="210"/>
      <c r="HL13" s="210"/>
      <c r="HM13" s="210"/>
      <c r="HN13" s="210"/>
      <c r="HO13" s="210"/>
      <c r="HP13" s="210"/>
      <c r="HQ13" s="210"/>
      <c r="HR13" s="210"/>
      <c r="HS13" s="210"/>
      <c r="HT13" s="210"/>
      <c r="HU13" s="210"/>
      <c r="HV13" s="210"/>
      <c r="HW13" s="210"/>
      <c r="HX13" s="210"/>
      <c r="HY13" s="210"/>
      <c r="HZ13" s="210"/>
      <c r="IA13" s="210"/>
      <c r="IB13" s="210"/>
      <c r="IC13" s="210"/>
      <c r="ID13" s="210"/>
      <c r="IE13" s="210"/>
      <c r="IF13" s="210"/>
      <c r="IG13" s="210"/>
      <c r="IH13" s="210"/>
      <c r="II13" s="210"/>
      <c r="IJ13" s="210"/>
      <c r="IK13" s="210"/>
      <c r="IL13" s="210"/>
      <c r="IM13" s="210"/>
      <c r="IN13" s="210"/>
      <c r="IO13" s="210"/>
      <c r="IP13" s="210"/>
      <c r="IQ13" s="210"/>
      <c r="IR13" s="210"/>
      <c r="IS13" s="210"/>
    </row>
    <row r="14" spans="1:253" ht="36.75" customHeight="1">
      <c r="A14" s="1960"/>
      <c r="B14" s="1958" t="s">
        <v>697</v>
      </c>
      <c r="C14" s="1959"/>
      <c r="D14" s="566">
        <f>説明書!G58</f>
        <v>4076009</v>
      </c>
      <c r="E14" s="566"/>
      <c r="F14" s="567">
        <f t="shared" si="0"/>
        <v>17.726283330267776</v>
      </c>
      <c r="G14" s="568"/>
      <c r="H14" s="210"/>
      <c r="I14" s="210"/>
      <c r="J14" s="210"/>
      <c r="K14" s="210"/>
      <c r="L14" s="210"/>
      <c r="M14" s="210"/>
      <c r="N14" s="210"/>
      <c r="O14" s="210"/>
      <c r="P14" s="210"/>
      <c r="Q14" s="210"/>
      <c r="R14" s="210"/>
      <c r="S14" s="210"/>
      <c r="T14" s="210"/>
      <c r="U14" s="210"/>
      <c r="V14" s="210"/>
      <c r="W14" s="210"/>
      <c r="X14" s="210"/>
      <c r="Y14" s="210"/>
      <c r="Z14" s="210"/>
      <c r="AA14" s="210"/>
      <c r="AB14" s="210"/>
      <c r="AC14" s="210"/>
      <c r="AD14" s="210"/>
      <c r="AE14" s="210"/>
      <c r="AF14" s="210"/>
      <c r="AG14" s="210"/>
      <c r="AH14" s="210"/>
      <c r="AI14" s="210"/>
      <c r="AJ14" s="210"/>
      <c r="AK14" s="210"/>
      <c r="AL14" s="210"/>
      <c r="AM14" s="210"/>
      <c r="AN14" s="210"/>
      <c r="AO14" s="210"/>
      <c r="AP14" s="210"/>
      <c r="AQ14" s="210"/>
      <c r="AR14" s="210"/>
      <c r="AS14" s="210"/>
      <c r="AT14" s="210"/>
      <c r="AU14" s="210"/>
      <c r="AV14" s="210"/>
      <c r="AW14" s="210"/>
      <c r="AX14" s="210"/>
      <c r="AY14" s="210"/>
      <c r="AZ14" s="210"/>
      <c r="BA14" s="210"/>
      <c r="BB14" s="210"/>
      <c r="BC14" s="210"/>
      <c r="BD14" s="210"/>
      <c r="BE14" s="210"/>
      <c r="BF14" s="210"/>
      <c r="BG14" s="210"/>
      <c r="BH14" s="210"/>
      <c r="BI14" s="210"/>
      <c r="BJ14" s="210"/>
      <c r="BK14" s="210"/>
      <c r="BL14" s="210"/>
      <c r="BM14" s="210"/>
      <c r="BN14" s="210"/>
      <c r="BO14" s="210"/>
      <c r="BP14" s="210"/>
      <c r="BQ14" s="210"/>
      <c r="BR14" s="210"/>
      <c r="BS14" s="210"/>
      <c r="BT14" s="210"/>
      <c r="BU14" s="210"/>
      <c r="BV14" s="210"/>
      <c r="BW14" s="210"/>
      <c r="BX14" s="210"/>
      <c r="BY14" s="210"/>
      <c r="BZ14" s="210"/>
      <c r="CA14" s="210"/>
      <c r="CB14" s="210"/>
      <c r="CC14" s="210"/>
      <c r="CD14" s="210"/>
      <c r="CE14" s="210"/>
      <c r="CF14" s="210"/>
      <c r="CG14" s="210"/>
      <c r="CH14" s="210"/>
      <c r="CI14" s="210"/>
      <c r="CJ14" s="210"/>
      <c r="CK14" s="210"/>
      <c r="CL14" s="210"/>
      <c r="CM14" s="210"/>
      <c r="CN14" s="210"/>
      <c r="CO14" s="210"/>
      <c r="CP14" s="210"/>
      <c r="CQ14" s="210"/>
      <c r="CR14" s="210"/>
      <c r="CS14" s="210"/>
      <c r="CT14" s="210"/>
      <c r="CU14" s="210"/>
      <c r="CV14" s="210"/>
      <c r="CW14" s="210"/>
      <c r="CX14" s="210"/>
      <c r="CY14" s="210"/>
      <c r="CZ14" s="210"/>
      <c r="DA14" s="210"/>
      <c r="DB14" s="210"/>
      <c r="DC14" s="210"/>
      <c r="DD14" s="210"/>
      <c r="DE14" s="210"/>
      <c r="DF14" s="210"/>
      <c r="DG14" s="210"/>
      <c r="DH14" s="210"/>
      <c r="DI14" s="210"/>
      <c r="DJ14" s="210"/>
      <c r="DK14" s="210"/>
      <c r="DL14" s="210"/>
      <c r="DM14" s="210"/>
      <c r="DN14" s="210"/>
      <c r="DO14" s="210"/>
      <c r="DP14" s="210"/>
      <c r="DQ14" s="210"/>
      <c r="DR14" s="210"/>
      <c r="DS14" s="210"/>
      <c r="DT14" s="210"/>
      <c r="DU14" s="210"/>
      <c r="DV14" s="210"/>
      <c r="DW14" s="210"/>
      <c r="DX14" s="210"/>
      <c r="DY14" s="210"/>
      <c r="DZ14" s="210"/>
      <c r="EA14" s="210"/>
      <c r="EB14" s="210"/>
      <c r="EC14" s="210"/>
      <c r="ED14" s="210"/>
      <c r="EE14" s="210"/>
      <c r="EF14" s="210"/>
      <c r="EG14" s="210"/>
      <c r="EH14" s="210"/>
      <c r="EI14" s="210"/>
      <c r="EJ14" s="210"/>
      <c r="EK14" s="210"/>
      <c r="EL14" s="210"/>
      <c r="EM14" s="210"/>
      <c r="EN14" s="210"/>
      <c r="EO14" s="210"/>
      <c r="EP14" s="210"/>
      <c r="EQ14" s="210"/>
      <c r="ER14" s="210"/>
      <c r="ES14" s="210"/>
      <c r="ET14" s="210"/>
      <c r="EU14" s="210"/>
      <c r="EV14" s="210"/>
      <c r="EW14" s="210"/>
      <c r="EX14" s="210"/>
      <c r="EY14" s="210"/>
      <c r="EZ14" s="210"/>
      <c r="FA14" s="210"/>
      <c r="FB14" s="210"/>
      <c r="FC14" s="210"/>
      <c r="FD14" s="210"/>
      <c r="FE14" s="210"/>
      <c r="FF14" s="210"/>
      <c r="FG14" s="210"/>
      <c r="FH14" s="210"/>
      <c r="FI14" s="210"/>
      <c r="FJ14" s="210"/>
      <c r="FK14" s="210"/>
      <c r="FL14" s="210"/>
      <c r="FM14" s="210"/>
      <c r="FN14" s="210"/>
      <c r="FO14" s="210"/>
      <c r="FP14" s="210"/>
      <c r="FQ14" s="210"/>
      <c r="FR14" s="210"/>
      <c r="FS14" s="210"/>
      <c r="FT14" s="210"/>
      <c r="FU14" s="210"/>
      <c r="FV14" s="210"/>
      <c r="FW14" s="210"/>
      <c r="FX14" s="210"/>
      <c r="FY14" s="210"/>
      <c r="FZ14" s="210"/>
      <c r="GA14" s="210"/>
      <c r="GB14" s="210"/>
      <c r="GC14" s="210"/>
      <c r="GD14" s="210"/>
      <c r="GE14" s="210"/>
      <c r="GF14" s="210"/>
      <c r="GG14" s="210"/>
      <c r="GH14" s="210"/>
      <c r="GI14" s="210"/>
      <c r="GJ14" s="210"/>
      <c r="GK14" s="210"/>
      <c r="GL14" s="210"/>
      <c r="GM14" s="210"/>
      <c r="GN14" s="210"/>
      <c r="GO14" s="210"/>
      <c r="GP14" s="210"/>
      <c r="GQ14" s="210"/>
      <c r="GR14" s="210"/>
      <c r="GS14" s="210"/>
      <c r="GT14" s="210"/>
      <c r="GU14" s="210"/>
      <c r="GV14" s="210"/>
      <c r="GW14" s="210"/>
      <c r="GX14" s="210"/>
      <c r="GY14" s="210"/>
      <c r="GZ14" s="210"/>
      <c r="HA14" s="210"/>
      <c r="HB14" s="210"/>
      <c r="HC14" s="210"/>
      <c r="HD14" s="210"/>
      <c r="HE14" s="210"/>
      <c r="HF14" s="210"/>
      <c r="HG14" s="210"/>
      <c r="HH14" s="210"/>
      <c r="HI14" s="210"/>
      <c r="HJ14" s="210"/>
      <c r="HK14" s="210"/>
      <c r="HL14" s="210"/>
      <c r="HM14" s="210"/>
      <c r="HN14" s="210"/>
      <c r="HO14" s="210"/>
      <c r="HP14" s="210"/>
      <c r="HQ14" s="210"/>
      <c r="HR14" s="210"/>
      <c r="HS14" s="210"/>
      <c r="HT14" s="210"/>
      <c r="HU14" s="210"/>
      <c r="HV14" s="210"/>
      <c r="HW14" s="210"/>
      <c r="HX14" s="210"/>
      <c r="HY14" s="210"/>
      <c r="HZ14" s="210"/>
      <c r="IA14" s="210"/>
      <c r="IB14" s="210"/>
      <c r="IC14" s="210"/>
      <c r="ID14" s="210"/>
      <c r="IE14" s="210"/>
      <c r="IF14" s="210"/>
      <c r="IG14" s="210"/>
      <c r="IH14" s="210"/>
      <c r="II14" s="210"/>
      <c r="IJ14" s="210"/>
      <c r="IK14" s="210"/>
      <c r="IL14" s="210"/>
      <c r="IM14" s="210"/>
      <c r="IN14" s="210"/>
      <c r="IO14" s="210"/>
      <c r="IP14" s="210"/>
      <c r="IQ14" s="210"/>
      <c r="IR14" s="210"/>
      <c r="IS14" s="210"/>
    </row>
    <row r="15" spans="1:253" ht="36.75" customHeight="1">
      <c r="A15" s="1960"/>
      <c r="B15" s="1958" t="s">
        <v>698</v>
      </c>
      <c r="C15" s="1959"/>
      <c r="D15" s="566">
        <f>説明書!G62</f>
        <v>2780630</v>
      </c>
      <c r="E15" s="566"/>
      <c r="F15" s="567">
        <f t="shared" si="0"/>
        <v>12.092768984720712</v>
      </c>
      <c r="G15" s="568"/>
      <c r="H15" s="210"/>
      <c r="I15" s="210"/>
      <c r="J15" s="210"/>
      <c r="K15" s="210"/>
      <c r="L15" s="210"/>
      <c r="M15" s="210"/>
      <c r="N15" s="210"/>
      <c r="O15" s="210"/>
      <c r="P15" s="210"/>
      <c r="Q15" s="210"/>
      <c r="R15" s="210"/>
      <c r="S15" s="210"/>
      <c r="T15" s="210"/>
      <c r="U15" s="210"/>
      <c r="V15" s="210"/>
      <c r="W15" s="210"/>
      <c r="X15" s="210"/>
      <c r="Y15" s="210"/>
      <c r="Z15" s="210"/>
      <c r="AA15" s="210"/>
      <c r="AB15" s="210"/>
      <c r="AC15" s="210"/>
      <c r="AD15" s="210"/>
      <c r="AE15" s="210"/>
      <c r="AF15" s="210"/>
      <c r="AG15" s="210"/>
      <c r="AH15" s="210"/>
      <c r="AI15" s="210"/>
      <c r="AJ15" s="210"/>
      <c r="AK15" s="210"/>
      <c r="AL15" s="210"/>
      <c r="AM15" s="210"/>
      <c r="AN15" s="210"/>
      <c r="AO15" s="210"/>
      <c r="AP15" s="210"/>
      <c r="AQ15" s="210"/>
      <c r="AR15" s="210"/>
      <c r="AS15" s="210"/>
      <c r="AT15" s="210"/>
      <c r="AU15" s="210"/>
      <c r="AV15" s="210"/>
      <c r="AW15" s="210"/>
      <c r="AX15" s="210"/>
      <c r="AY15" s="210"/>
      <c r="AZ15" s="210"/>
      <c r="BA15" s="210"/>
      <c r="BB15" s="210"/>
      <c r="BC15" s="210"/>
      <c r="BD15" s="210"/>
      <c r="BE15" s="210"/>
      <c r="BF15" s="210"/>
      <c r="BG15" s="210"/>
      <c r="BH15" s="210"/>
      <c r="BI15" s="210"/>
      <c r="BJ15" s="210"/>
      <c r="BK15" s="210"/>
      <c r="BL15" s="210"/>
      <c r="BM15" s="210"/>
      <c r="BN15" s="210"/>
      <c r="BO15" s="210"/>
      <c r="BP15" s="210"/>
      <c r="BQ15" s="210"/>
      <c r="BR15" s="210"/>
      <c r="BS15" s="210"/>
      <c r="BT15" s="210"/>
      <c r="BU15" s="210"/>
      <c r="BV15" s="210"/>
      <c r="BW15" s="210"/>
      <c r="BX15" s="210"/>
      <c r="BY15" s="210"/>
      <c r="BZ15" s="210"/>
      <c r="CA15" s="210"/>
      <c r="CB15" s="210"/>
      <c r="CC15" s="210"/>
      <c r="CD15" s="210"/>
      <c r="CE15" s="210"/>
      <c r="CF15" s="210"/>
      <c r="CG15" s="210"/>
      <c r="CH15" s="210"/>
      <c r="CI15" s="210"/>
      <c r="CJ15" s="210"/>
      <c r="CK15" s="210"/>
      <c r="CL15" s="210"/>
      <c r="CM15" s="210"/>
      <c r="CN15" s="210"/>
      <c r="CO15" s="210"/>
      <c r="CP15" s="210"/>
      <c r="CQ15" s="210"/>
      <c r="CR15" s="210"/>
      <c r="CS15" s="210"/>
      <c r="CT15" s="210"/>
      <c r="CU15" s="210"/>
      <c r="CV15" s="210"/>
      <c r="CW15" s="210"/>
      <c r="CX15" s="210"/>
      <c r="CY15" s="210"/>
      <c r="CZ15" s="210"/>
      <c r="DA15" s="210"/>
      <c r="DB15" s="210"/>
      <c r="DC15" s="210"/>
      <c r="DD15" s="210"/>
      <c r="DE15" s="210"/>
      <c r="DF15" s="210"/>
      <c r="DG15" s="210"/>
      <c r="DH15" s="210"/>
      <c r="DI15" s="210"/>
      <c r="DJ15" s="210"/>
      <c r="DK15" s="210"/>
      <c r="DL15" s="210"/>
      <c r="DM15" s="210"/>
      <c r="DN15" s="210"/>
      <c r="DO15" s="210"/>
      <c r="DP15" s="210"/>
      <c r="DQ15" s="210"/>
      <c r="DR15" s="210"/>
      <c r="DS15" s="210"/>
      <c r="DT15" s="210"/>
      <c r="DU15" s="210"/>
      <c r="DV15" s="210"/>
      <c r="DW15" s="210"/>
      <c r="DX15" s="210"/>
      <c r="DY15" s="210"/>
      <c r="DZ15" s="210"/>
      <c r="EA15" s="210"/>
      <c r="EB15" s="210"/>
      <c r="EC15" s="210"/>
      <c r="ED15" s="210"/>
      <c r="EE15" s="210"/>
      <c r="EF15" s="210"/>
      <c r="EG15" s="210"/>
      <c r="EH15" s="210"/>
      <c r="EI15" s="210"/>
      <c r="EJ15" s="210"/>
      <c r="EK15" s="210"/>
      <c r="EL15" s="210"/>
      <c r="EM15" s="210"/>
      <c r="EN15" s="210"/>
      <c r="EO15" s="210"/>
      <c r="EP15" s="210"/>
      <c r="EQ15" s="210"/>
      <c r="ER15" s="210"/>
      <c r="ES15" s="210"/>
      <c r="ET15" s="210"/>
      <c r="EU15" s="210"/>
      <c r="EV15" s="210"/>
      <c r="EW15" s="210"/>
      <c r="EX15" s="210"/>
      <c r="EY15" s="210"/>
      <c r="EZ15" s="210"/>
      <c r="FA15" s="210"/>
      <c r="FB15" s="210"/>
      <c r="FC15" s="210"/>
      <c r="FD15" s="210"/>
      <c r="FE15" s="210"/>
      <c r="FF15" s="210"/>
      <c r="FG15" s="210"/>
      <c r="FH15" s="210"/>
      <c r="FI15" s="210"/>
      <c r="FJ15" s="210"/>
      <c r="FK15" s="210"/>
      <c r="FL15" s="210"/>
      <c r="FM15" s="210"/>
      <c r="FN15" s="210"/>
      <c r="FO15" s="210"/>
      <c r="FP15" s="210"/>
      <c r="FQ15" s="210"/>
      <c r="FR15" s="210"/>
      <c r="FS15" s="210"/>
      <c r="FT15" s="210"/>
      <c r="FU15" s="210"/>
      <c r="FV15" s="210"/>
      <c r="FW15" s="210"/>
      <c r="FX15" s="210"/>
      <c r="FY15" s="210"/>
      <c r="FZ15" s="210"/>
      <c r="GA15" s="210"/>
      <c r="GB15" s="210"/>
      <c r="GC15" s="210"/>
      <c r="GD15" s="210"/>
      <c r="GE15" s="210"/>
      <c r="GF15" s="210"/>
      <c r="GG15" s="210"/>
      <c r="GH15" s="210"/>
      <c r="GI15" s="210"/>
      <c r="GJ15" s="210"/>
      <c r="GK15" s="210"/>
      <c r="GL15" s="210"/>
      <c r="GM15" s="210"/>
      <c r="GN15" s="210"/>
      <c r="GO15" s="210"/>
      <c r="GP15" s="210"/>
      <c r="GQ15" s="210"/>
      <c r="GR15" s="210"/>
      <c r="GS15" s="210"/>
      <c r="GT15" s="210"/>
      <c r="GU15" s="210"/>
      <c r="GV15" s="210"/>
      <c r="GW15" s="210"/>
      <c r="GX15" s="210"/>
      <c r="GY15" s="210"/>
      <c r="GZ15" s="210"/>
      <c r="HA15" s="210"/>
      <c r="HB15" s="210"/>
      <c r="HC15" s="210"/>
      <c r="HD15" s="210"/>
      <c r="HE15" s="210"/>
      <c r="HF15" s="210"/>
      <c r="HG15" s="210"/>
      <c r="HH15" s="210"/>
      <c r="HI15" s="210"/>
      <c r="HJ15" s="210"/>
      <c r="HK15" s="210"/>
      <c r="HL15" s="210"/>
      <c r="HM15" s="210"/>
      <c r="HN15" s="210"/>
      <c r="HO15" s="210"/>
      <c r="HP15" s="210"/>
      <c r="HQ15" s="210"/>
      <c r="HR15" s="210"/>
      <c r="HS15" s="210"/>
      <c r="HT15" s="210"/>
      <c r="HU15" s="210"/>
      <c r="HV15" s="210"/>
      <c r="HW15" s="210"/>
      <c r="HX15" s="210"/>
      <c r="HY15" s="210"/>
      <c r="HZ15" s="210"/>
      <c r="IA15" s="210"/>
      <c r="IB15" s="210"/>
      <c r="IC15" s="210"/>
      <c r="ID15" s="210"/>
      <c r="IE15" s="210"/>
      <c r="IF15" s="210"/>
      <c r="IG15" s="210"/>
      <c r="IH15" s="210"/>
      <c r="II15" s="210"/>
      <c r="IJ15" s="210"/>
      <c r="IK15" s="210"/>
      <c r="IL15" s="210"/>
      <c r="IM15" s="210"/>
      <c r="IN15" s="210"/>
      <c r="IO15" s="210"/>
      <c r="IP15" s="210"/>
      <c r="IQ15" s="210"/>
      <c r="IR15" s="210"/>
      <c r="IS15" s="210"/>
    </row>
    <row r="16" spans="1:253" ht="36.75" customHeight="1">
      <c r="A16" s="1960"/>
      <c r="B16" s="1958" t="s">
        <v>699</v>
      </c>
      <c r="C16" s="1959"/>
      <c r="D16" s="566">
        <f>SUM(D8:D15)</f>
        <v>21323103</v>
      </c>
      <c r="E16" s="566"/>
      <c r="F16" s="567">
        <f t="shared" si="0"/>
        <v>92.732711154092826</v>
      </c>
      <c r="G16" s="568"/>
      <c r="H16" s="210"/>
      <c r="I16" s="210"/>
      <c r="J16" s="210"/>
      <c r="K16" s="210"/>
      <c r="L16" s="210"/>
      <c r="M16" s="210"/>
      <c r="N16" s="210"/>
      <c r="O16" s="210"/>
      <c r="P16" s="210"/>
      <c r="Q16" s="210"/>
      <c r="R16" s="210"/>
      <c r="S16" s="210"/>
      <c r="T16" s="210"/>
      <c r="U16" s="210"/>
      <c r="V16" s="210"/>
      <c r="W16" s="210"/>
      <c r="X16" s="210"/>
      <c r="Y16" s="210"/>
      <c r="Z16" s="210"/>
      <c r="AA16" s="210"/>
      <c r="AB16" s="210"/>
      <c r="AC16" s="210"/>
      <c r="AD16" s="210"/>
      <c r="AE16" s="210"/>
      <c r="AF16" s="210"/>
      <c r="AG16" s="210"/>
      <c r="AH16" s="210"/>
      <c r="AI16" s="210"/>
      <c r="AJ16" s="210"/>
      <c r="AK16" s="210"/>
      <c r="AL16" s="210"/>
      <c r="AM16" s="210"/>
      <c r="AN16" s="210"/>
      <c r="AO16" s="210"/>
      <c r="AP16" s="210"/>
      <c r="AQ16" s="210"/>
      <c r="AR16" s="210"/>
      <c r="AS16" s="210"/>
      <c r="AT16" s="210"/>
      <c r="AU16" s="210"/>
      <c r="AV16" s="210"/>
      <c r="AW16" s="210"/>
      <c r="AX16" s="210"/>
      <c r="AY16" s="210"/>
      <c r="AZ16" s="210"/>
      <c r="BA16" s="210"/>
      <c r="BB16" s="210"/>
      <c r="BC16" s="210"/>
      <c r="BD16" s="210"/>
      <c r="BE16" s="210"/>
      <c r="BF16" s="210"/>
      <c r="BG16" s="210"/>
      <c r="BH16" s="210"/>
      <c r="BI16" s="210"/>
      <c r="BJ16" s="210"/>
      <c r="BK16" s="210"/>
      <c r="BL16" s="210"/>
      <c r="BM16" s="210"/>
      <c r="BN16" s="210"/>
      <c r="BO16" s="210"/>
      <c r="BP16" s="210"/>
      <c r="BQ16" s="210"/>
      <c r="BR16" s="210"/>
      <c r="BS16" s="210"/>
      <c r="BT16" s="210"/>
      <c r="BU16" s="210"/>
      <c r="BV16" s="210"/>
      <c r="BW16" s="210"/>
      <c r="BX16" s="210"/>
      <c r="BY16" s="210"/>
      <c r="BZ16" s="210"/>
      <c r="CA16" s="210"/>
      <c r="CB16" s="210"/>
      <c r="CC16" s="210"/>
      <c r="CD16" s="210"/>
      <c r="CE16" s="210"/>
      <c r="CF16" s="210"/>
      <c r="CG16" s="210"/>
      <c r="CH16" s="210"/>
      <c r="CI16" s="210"/>
      <c r="CJ16" s="210"/>
      <c r="CK16" s="210"/>
      <c r="CL16" s="210"/>
      <c r="CM16" s="210"/>
      <c r="CN16" s="210"/>
      <c r="CO16" s="210"/>
      <c r="CP16" s="210"/>
      <c r="CQ16" s="210"/>
      <c r="CR16" s="210"/>
      <c r="CS16" s="210"/>
      <c r="CT16" s="210"/>
      <c r="CU16" s="210"/>
      <c r="CV16" s="210"/>
      <c r="CW16" s="210"/>
      <c r="CX16" s="210"/>
      <c r="CY16" s="210"/>
      <c r="CZ16" s="210"/>
      <c r="DA16" s="210"/>
      <c r="DB16" s="210"/>
      <c r="DC16" s="210"/>
      <c r="DD16" s="210"/>
      <c r="DE16" s="210"/>
      <c r="DF16" s="210"/>
      <c r="DG16" s="210"/>
      <c r="DH16" s="210"/>
      <c r="DI16" s="210"/>
      <c r="DJ16" s="210"/>
      <c r="DK16" s="210"/>
      <c r="DL16" s="210"/>
      <c r="DM16" s="210"/>
      <c r="DN16" s="210"/>
      <c r="DO16" s="210"/>
      <c r="DP16" s="210"/>
      <c r="DQ16" s="210"/>
      <c r="DR16" s="210"/>
      <c r="DS16" s="210"/>
      <c r="DT16" s="210"/>
      <c r="DU16" s="210"/>
      <c r="DV16" s="210"/>
      <c r="DW16" s="210"/>
      <c r="DX16" s="210"/>
      <c r="DY16" s="210"/>
      <c r="DZ16" s="210"/>
      <c r="EA16" s="210"/>
      <c r="EB16" s="210"/>
      <c r="EC16" s="210"/>
      <c r="ED16" s="210"/>
      <c r="EE16" s="210"/>
      <c r="EF16" s="210"/>
      <c r="EG16" s="210"/>
      <c r="EH16" s="210"/>
      <c r="EI16" s="210"/>
      <c r="EJ16" s="210"/>
      <c r="EK16" s="210"/>
      <c r="EL16" s="210"/>
      <c r="EM16" s="210"/>
      <c r="EN16" s="210"/>
      <c r="EO16" s="210"/>
      <c r="EP16" s="210"/>
      <c r="EQ16" s="210"/>
      <c r="ER16" s="210"/>
      <c r="ES16" s="210"/>
      <c r="ET16" s="210"/>
      <c r="EU16" s="210"/>
      <c r="EV16" s="210"/>
      <c r="EW16" s="210"/>
      <c r="EX16" s="210"/>
      <c r="EY16" s="210"/>
      <c r="EZ16" s="210"/>
      <c r="FA16" s="210"/>
      <c r="FB16" s="210"/>
      <c r="FC16" s="210"/>
      <c r="FD16" s="210"/>
      <c r="FE16" s="210"/>
      <c r="FF16" s="210"/>
      <c r="FG16" s="210"/>
      <c r="FH16" s="210"/>
      <c r="FI16" s="210"/>
      <c r="FJ16" s="210"/>
      <c r="FK16" s="210"/>
      <c r="FL16" s="210"/>
      <c r="FM16" s="210"/>
      <c r="FN16" s="210"/>
      <c r="FO16" s="210"/>
      <c r="FP16" s="210"/>
      <c r="FQ16" s="210"/>
      <c r="FR16" s="210"/>
      <c r="FS16" s="210"/>
      <c r="FT16" s="210"/>
      <c r="FU16" s="210"/>
      <c r="FV16" s="210"/>
      <c r="FW16" s="210"/>
      <c r="FX16" s="210"/>
      <c r="FY16" s="210"/>
      <c r="FZ16" s="210"/>
      <c r="GA16" s="210"/>
      <c r="GB16" s="210"/>
      <c r="GC16" s="210"/>
      <c r="GD16" s="210"/>
      <c r="GE16" s="210"/>
      <c r="GF16" s="210"/>
      <c r="GG16" s="210"/>
      <c r="GH16" s="210"/>
      <c r="GI16" s="210"/>
      <c r="GJ16" s="210"/>
      <c r="GK16" s="210"/>
      <c r="GL16" s="210"/>
      <c r="GM16" s="210"/>
      <c r="GN16" s="210"/>
      <c r="GO16" s="210"/>
      <c r="GP16" s="210"/>
      <c r="GQ16" s="210"/>
      <c r="GR16" s="210"/>
      <c r="GS16" s="210"/>
      <c r="GT16" s="210"/>
      <c r="GU16" s="210"/>
      <c r="GV16" s="210"/>
      <c r="GW16" s="210"/>
      <c r="GX16" s="210"/>
      <c r="GY16" s="210"/>
      <c r="GZ16" s="210"/>
      <c r="HA16" s="210"/>
      <c r="HB16" s="210"/>
      <c r="HC16" s="210"/>
      <c r="HD16" s="210"/>
      <c r="HE16" s="210"/>
      <c r="HF16" s="210"/>
      <c r="HG16" s="210"/>
      <c r="HH16" s="210"/>
      <c r="HI16" s="210"/>
      <c r="HJ16" s="210"/>
      <c r="HK16" s="210"/>
      <c r="HL16" s="210"/>
      <c r="HM16" s="210"/>
      <c r="HN16" s="210"/>
      <c r="HO16" s="210"/>
      <c r="HP16" s="210"/>
      <c r="HQ16" s="210"/>
      <c r="HR16" s="210"/>
      <c r="HS16" s="210"/>
      <c r="HT16" s="210"/>
      <c r="HU16" s="210"/>
      <c r="HV16" s="210"/>
      <c r="HW16" s="210"/>
      <c r="HX16" s="210"/>
      <c r="HY16" s="210"/>
      <c r="HZ16" s="210"/>
      <c r="IA16" s="210"/>
      <c r="IB16" s="210"/>
      <c r="IC16" s="210"/>
      <c r="ID16" s="210"/>
      <c r="IE16" s="210"/>
      <c r="IF16" s="210"/>
      <c r="IG16" s="210"/>
      <c r="IH16" s="210"/>
      <c r="II16" s="210"/>
      <c r="IJ16" s="210"/>
      <c r="IK16" s="210"/>
      <c r="IL16" s="210"/>
      <c r="IM16" s="210"/>
      <c r="IN16" s="210"/>
      <c r="IO16" s="210"/>
      <c r="IP16" s="210"/>
      <c r="IQ16" s="210"/>
      <c r="IR16" s="210"/>
      <c r="IS16" s="210"/>
    </row>
    <row r="17" spans="1:253" ht="36.75" customHeight="1">
      <c r="A17" s="1960"/>
      <c r="B17" s="1958" t="s">
        <v>700</v>
      </c>
      <c r="C17" s="1959"/>
      <c r="D17" s="566">
        <f>説明書!G88</f>
        <v>1554872</v>
      </c>
      <c r="E17" s="566"/>
      <c r="F17" s="567">
        <f t="shared" si="0"/>
        <v>6.7620315888164413</v>
      </c>
      <c r="G17" s="568"/>
      <c r="H17" s="210"/>
      <c r="I17" s="210"/>
      <c r="J17" s="210"/>
      <c r="K17" s="210"/>
      <c r="L17" s="210"/>
      <c r="M17" s="210"/>
      <c r="N17" s="210"/>
      <c r="O17" s="210"/>
      <c r="P17" s="210"/>
      <c r="Q17" s="210"/>
      <c r="R17" s="210"/>
      <c r="S17" s="210"/>
      <c r="T17" s="210"/>
      <c r="U17" s="210"/>
      <c r="V17" s="210"/>
      <c r="W17" s="210"/>
      <c r="X17" s="210"/>
      <c r="Y17" s="210"/>
      <c r="Z17" s="210"/>
      <c r="AA17" s="210"/>
      <c r="AB17" s="210"/>
      <c r="AC17" s="210"/>
      <c r="AD17" s="210"/>
      <c r="AE17" s="210"/>
      <c r="AF17" s="210"/>
      <c r="AG17" s="210"/>
      <c r="AH17" s="210"/>
      <c r="AI17" s="210"/>
      <c r="AJ17" s="210"/>
      <c r="AK17" s="210"/>
      <c r="AL17" s="210"/>
      <c r="AM17" s="210"/>
      <c r="AN17" s="210"/>
      <c r="AO17" s="210"/>
      <c r="AP17" s="210"/>
      <c r="AQ17" s="210"/>
      <c r="AR17" s="210"/>
      <c r="AS17" s="210"/>
      <c r="AT17" s="210"/>
      <c r="AU17" s="210"/>
      <c r="AV17" s="210"/>
      <c r="AW17" s="210"/>
      <c r="AX17" s="210"/>
      <c r="AY17" s="210"/>
      <c r="AZ17" s="210"/>
      <c r="BA17" s="210"/>
      <c r="BB17" s="210"/>
      <c r="BC17" s="210"/>
      <c r="BD17" s="210"/>
      <c r="BE17" s="210"/>
      <c r="BF17" s="210"/>
      <c r="BG17" s="210"/>
      <c r="BH17" s="210"/>
      <c r="BI17" s="210"/>
      <c r="BJ17" s="210"/>
      <c r="BK17" s="210"/>
      <c r="BL17" s="210"/>
      <c r="BM17" s="210"/>
      <c r="BN17" s="210"/>
      <c r="BO17" s="210"/>
      <c r="BP17" s="210"/>
      <c r="BQ17" s="210"/>
      <c r="BR17" s="210"/>
      <c r="BS17" s="210"/>
      <c r="BT17" s="210"/>
      <c r="BU17" s="210"/>
      <c r="BV17" s="210"/>
      <c r="BW17" s="210"/>
      <c r="BX17" s="210"/>
      <c r="BY17" s="210"/>
      <c r="BZ17" s="210"/>
      <c r="CA17" s="210"/>
      <c r="CB17" s="210"/>
      <c r="CC17" s="210"/>
      <c r="CD17" s="210"/>
      <c r="CE17" s="210"/>
      <c r="CF17" s="210"/>
      <c r="CG17" s="210"/>
      <c r="CH17" s="210"/>
      <c r="CI17" s="210"/>
      <c r="CJ17" s="210"/>
      <c r="CK17" s="210"/>
      <c r="CL17" s="210"/>
      <c r="CM17" s="210"/>
      <c r="CN17" s="210"/>
      <c r="CO17" s="210"/>
      <c r="CP17" s="210"/>
      <c r="CQ17" s="210"/>
      <c r="CR17" s="210"/>
      <c r="CS17" s="210"/>
      <c r="CT17" s="210"/>
      <c r="CU17" s="210"/>
      <c r="CV17" s="210"/>
      <c r="CW17" s="210"/>
      <c r="CX17" s="210"/>
      <c r="CY17" s="210"/>
      <c r="CZ17" s="210"/>
      <c r="DA17" s="210"/>
      <c r="DB17" s="210"/>
      <c r="DC17" s="210"/>
      <c r="DD17" s="210"/>
      <c r="DE17" s="210"/>
      <c r="DF17" s="210"/>
      <c r="DG17" s="210"/>
      <c r="DH17" s="210"/>
      <c r="DI17" s="210"/>
      <c r="DJ17" s="210"/>
      <c r="DK17" s="210"/>
      <c r="DL17" s="210"/>
      <c r="DM17" s="210"/>
      <c r="DN17" s="210"/>
      <c r="DO17" s="210"/>
      <c r="DP17" s="210"/>
      <c r="DQ17" s="210"/>
      <c r="DR17" s="210"/>
      <c r="DS17" s="210"/>
      <c r="DT17" s="210"/>
      <c r="DU17" s="210"/>
      <c r="DV17" s="210"/>
      <c r="DW17" s="210"/>
      <c r="DX17" s="210"/>
      <c r="DY17" s="210"/>
      <c r="DZ17" s="210"/>
      <c r="EA17" s="210"/>
      <c r="EB17" s="210"/>
      <c r="EC17" s="210"/>
      <c r="ED17" s="210"/>
      <c r="EE17" s="210"/>
      <c r="EF17" s="210"/>
      <c r="EG17" s="210"/>
      <c r="EH17" s="210"/>
      <c r="EI17" s="210"/>
      <c r="EJ17" s="210"/>
      <c r="EK17" s="210"/>
      <c r="EL17" s="210"/>
      <c r="EM17" s="210"/>
      <c r="EN17" s="210"/>
      <c r="EO17" s="210"/>
      <c r="EP17" s="210"/>
      <c r="EQ17" s="210"/>
      <c r="ER17" s="210"/>
      <c r="ES17" s="210"/>
      <c r="ET17" s="210"/>
      <c r="EU17" s="210"/>
      <c r="EV17" s="210"/>
      <c r="EW17" s="210"/>
      <c r="EX17" s="210"/>
      <c r="EY17" s="210"/>
      <c r="EZ17" s="210"/>
      <c r="FA17" s="210"/>
      <c r="FB17" s="210"/>
      <c r="FC17" s="210"/>
      <c r="FD17" s="210"/>
      <c r="FE17" s="210"/>
      <c r="FF17" s="210"/>
      <c r="FG17" s="210"/>
      <c r="FH17" s="210"/>
      <c r="FI17" s="210"/>
      <c r="FJ17" s="210"/>
      <c r="FK17" s="210"/>
      <c r="FL17" s="210"/>
      <c r="FM17" s="210"/>
      <c r="FN17" s="210"/>
      <c r="FO17" s="210"/>
      <c r="FP17" s="210"/>
      <c r="FQ17" s="210"/>
      <c r="FR17" s="210"/>
      <c r="FS17" s="210"/>
      <c r="FT17" s="210"/>
      <c r="FU17" s="210"/>
      <c r="FV17" s="210"/>
      <c r="FW17" s="210"/>
      <c r="FX17" s="210"/>
      <c r="FY17" s="210"/>
      <c r="FZ17" s="210"/>
      <c r="GA17" s="210"/>
      <c r="GB17" s="210"/>
      <c r="GC17" s="210"/>
      <c r="GD17" s="210"/>
      <c r="GE17" s="210"/>
      <c r="GF17" s="210"/>
      <c r="GG17" s="210"/>
      <c r="GH17" s="210"/>
      <c r="GI17" s="210"/>
      <c r="GJ17" s="210"/>
      <c r="GK17" s="210"/>
      <c r="GL17" s="210"/>
      <c r="GM17" s="210"/>
      <c r="GN17" s="210"/>
      <c r="GO17" s="210"/>
      <c r="GP17" s="210"/>
      <c r="GQ17" s="210"/>
      <c r="GR17" s="210"/>
      <c r="GS17" s="210"/>
      <c r="GT17" s="210"/>
      <c r="GU17" s="210"/>
      <c r="GV17" s="210"/>
      <c r="GW17" s="210"/>
      <c r="GX17" s="210"/>
      <c r="GY17" s="210"/>
      <c r="GZ17" s="210"/>
      <c r="HA17" s="210"/>
      <c r="HB17" s="210"/>
      <c r="HC17" s="210"/>
      <c r="HD17" s="210"/>
      <c r="HE17" s="210"/>
      <c r="HF17" s="210"/>
      <c r="HG17" s="210"/>
      <c r="HH17" s="210"/>
      <c r="HI17" s="210"/>
      <c r="HJ17" s="210"/>
      <c r="HK17" s="210"/>
      <c r="HL17" s="210"/>
      <c r="HM17" s="210"/>
      <c r="HN17" s="210"/>
      <c r="HO17" s="210"/>
      <c r="HP17" s="210"/>
      <c r="HQ17" s="210"/>
      <c r="HR17" s="210"/>
      <c r="HS17" s="210"/>
      <c r="HT17" s="210"/>
      <c r="HU17" s="210"/>
      <c r="HV17" s="210"/>
      <c r="HW17" s="210"/>
      <c r="HX17" s="210"/>
      <c r="HY17" s="210"/>
      <c r="HZ17" s="210"/>
      <c r="IA17" s="210"/>
      <c r="IB17" s="210"/>
      <c r="IC17" s="210"/>
      <c r="ID17" s="210"/>
      <c r="IE17" s="210"/>
      <c r="IF17" s="210"/>
      <c r="IG17" s="210"/>
      <c r="IH17" s="210"/>
      <c r="II17" s="210"/>
      <c r="IJ17" s="210"/>
      <c r="IK17" s="210"/>
      <c r="IL17" s="210"/>
      <c r="IM17" s="210"/>
      <c r="IN17" s="210"/>
      <c r="IO17" s="210"/>
      <c r="IP17" s="210"/>
      <c r="IQ17" s="210"/>
      <c r="IR17" s="210"/>
      <c r="IS17" s="210"/>
    </row>
    <row r="18" spans="1:253" ht="36.75" customHeight="1">
      <c r="A18" s="344"/>
      <c r="B18" s="1962" t="s">
        <v>1183</v>
      </c>
      <c r="C18" s="241" t="s">
        <v>701</v>
      </c>
      <c r="D18" s="566">
        <f>説明書!G71</f>
        <v>99045</v>
      </c>
      <c r="E18" s="566"/>
      <c r="F18" s="567">
        <f>D18/D$21*100</f>
        <v>0.43073990573778709</v>
      </c>
      <c r="G18" s="568"/>
      <c r="H18" s="210"/>
      <c r="I18" s="210"/>
      <c r="J18" s="210"/>
      <c r="K18" s="210"/>
      <c r="L18" s="210"/>
      <c r="M18" s="210"/>
      <c r="N18" s="210"/>
      <c r="O18" s="210"/>
      <c r="P18" s="210"/>
      <c r="Q18" s="210"/>
      <c r="R18" s="210"/>
      <c r="S18" s="210"/>
      <c r="T18" s="210"/>
      <c r="U18" s="210"/>
      <c r="V18" s="210"/>
      <c r="W18" s="210"/>
      <c r="X18" s="210"/>
      <c r="Y18" s="210"/>
      <c r="Z18" s="210"/>
      <c r="AA18" s="210"/>
      <c r="AB18" s="210"/>
      <c r="AC18" s="210"/>
      <c r="AD18" s="210"/>
      <c r="AE18" s="210"/>
      <c r="AF18" s="210"/>
      <c r="AG18" s="210"/>
      <c r="AH18" s="210"/>
      <c r="AI18" s="210"/>
      <c r="AJ18" s="210"/>
      <c r="AK18" s="210"/>
      <c r="AL18" s="210"/>
      <c r="AM18" s="210"/>
      <c r="AN18" s="210"/>
      <c r="AO18" s="210"/>
      <c r="AP18" s="210"/>
      <c r="AQ18" s="210"/>
      <c r="AR18" s="210"/>
      <c r="AS18" s="210"/>
      <c r="AT18" s="210"/>
      <c r="AU18" s="210"/>
      <c r="AV18" s="210"/>
      <c r="AW18" s="210"/>
      <c r="AX18" s="210"/>
      <c r="AY18" s="210"/>
      <c r="AZ18" s="210"/>
      <c r="BA18" s="210"/>
      <c r="BB18" s="210"/>
      <c r="BC18" s="210"/>
      <c r="BD18" s="210"/>
      <c r="BE18" s="210"/>
      <c r="BF18" s="210"/>
      <c r="BG18" s="210"/>
      <c r="BH18" s="210"/>
      <c r="BI18" s="210"/>
      <c r="BJ18" s="210"/>
      <c r="BK18" s="210"/>
      <c r="BL18" s="210"/>
      <c r="BM18" s="210"/>
      <c r="BN18" s="210"/>
      <c r="BO18" s="210"/>
      <c r="BP18" s="210"/>
      <c r="BQ18" s="210"/>
      <c r="BR18" s="210"/>
      <c r="BS18" s="210"/>
      <c r="BT18" s="210"/>
      <c r="BU18" s="210"/>
      <c r="BV18" s="210"/>
      <c r="BW18" s="210"/>
      <c r="BX18" s="210"/>
      <c r="BY18" s="210"/>
      <c r="BZ18" s="210"/>
      <c r="CA18" s="210"/>
      <c r="CB18" s="210"/>
      <c r="CC18" s="210"/>
      <c r="CD18" s="210"/>
      <c r="CE18" s="210"/>
      <c r="CF18" s="210"/>
      <c r="CG18" s="210"/>
      <c r="CH18" s="210"/>
      <c r="CI18" s="210"/>
      <c r="CJ18" s="210"/>
      <c r="CK18" s="210"/>
      <c r="CL18" s="210"/>
      <c r="CM18" s="210"/>
      <c r="CN18" s="210"/>
      <c r="CO18" s="210"/>
      <c r="CP18" s="210"/>
      <c r="CQ18" s="210"/>
      <c r="CR18" s="210"/>
      <c r="CS18" s="210"/>
      <c r="CT18" s="210"/>
      <c r="CU18" s="210"/>
      <c r="CV18" s="210"/>
      <c r="CW18" s="210"/>
      <c r="CX18" s="210"/>
      <c r="CY18" s="210"/>
      <c r="CZ18" s="210"/>
      <c r="DA18" s="210"/>
      <c r="DB18" s="210"/>
      <c r="DC18" s="210"/>
      <c r="DD18" s="210"/>
      <c r="DE18" s="210"/>
      <c r="DF18" s="210"/>
      <c r="DG18" s="210"/>
      <c r="DH18" s="210"/>
      <c r="DI18" s="210"/>
      <c r="DJ18" s="210"/>
      <c r="DK18" s="210"/>
      <c r="DL18" s="210"/>
      <c r="DM18" s="210"/>
      <c r="DN18" s="210"/>
      <c r="DO18" s="210"/>
      <c r="DP18" s="210"/>
      <c r="DQ18" s="210"/>
      <c r="DR18" s="210"/>
      <c r="DS18" s="210"/>
      <c r="DT18" s="210"/>
      <c r="DU18" s="210"/>
      <c r="DV18" s="210"/>
      <c r="DW18" s="210"/>
      <c r="DX18" s="210"/>
      <c r="DY18" s="210"/>
      <c r="DZ18" s="210"/>
      <c r="EA18" s="210"/>
      <c r="EB18" s="210"/>
      <c r="EC18" s="210"/>
      <c r="ED18" s="210"/>
      <c r="EE18" s="210"/>
      <c r="EF18" s="210"/>
      <c r="EG18" s="210"/>
      <c r="EH18" s="210"/>
      <c r="EI18" s="210"/>
      <c r="EJ18" s="210"/>
      <c r="EK18" s="210"/>
      <c r="EL18" s="210"/>
      <c r="EM18" s="210"/>
      <c r="EN18" s="210"/>
      <c r="EO18" s="210"/>
      <c r="EP18" s="210"/>
      <c r="EQ18" s="210"/>
      <c r="ER18" s="210"/>
      <c r="ES18" s="210"/>
      <c r="ET18" s="210"/>
      <c r="EU18" s="210"/>
      <c r="EV18" s="210"/>
      <c r="EW18" s="210"/>
      <c r="EX18" s="210"/>
      <c r="EY18" s="210"/>
      <c r="EZ18" s="210"/>
      <c r="FA18" s="210"/>
      <c r="FB18" s="210"/>
      <c r="FC18" s="210"/>
      <c r="FD18" s="210"/>
      <c r="FE18" s="210"/>
      <c r="FF18" s="210"/>
      <c r="FG18" s="210"/>
      <c r="FH18" s="210"/>
      <c r="FI18" s="210"/>
      <c r="FJ18" s="210"/>
      <c r="FK18" s="210"/>
      <c r="FL18" s="210"/>
      <c r="FM18" s="210"/>
      <c r="FN18" s="210"/>
      <c r="FO18" s="210"/>
      <c r="FP18" s="210"/>
      <c r="FQ18" s="210"/>
      <c r="FR18" s="210"/>
      <c r="FS18" s="210"/>
      <c r="FT18" s="210"/>
      <c r="FU18" s="210"/>
      <c r="FV18" s="210"/>
      <c r="FW18" s="210"/>
      <c r="FX18" s="210"/>
      <c r="FY18" s="210"/>
      <c r="FZ18" s="210"/>
      <c r="GA18" s="210"/>
      <c r="GB18" s="210"/>
      <c r="GC18" s="210"/>
      <c r="GD18" s="210"/>
      <c r="GE18" s="210"/>
      <c r="GF18" s="210"/>
      <c r="GG18" s="210"/>
      <c r="GH18" s="210"/>
      <c r="GI18" s="210"/>
      <c r="GJ18" s="210"/>
      <c r="GK18" s="210"/>
      <c r="GL18" s="210"/>
      <c r="GM18" s="210"/>
      <c r="GN18" s="210"/>
      <c r="GO18" s="210"/>
      <c r="GP18" s="210"/>
      <c r="GQ18" s="210"/>
      <c r="GR18" s="210"/>
      <c r="GS18" s="210"/>
      <c r="GT18" s="210"/>
      <c r="GU18" s="210"/>
      <c r="GV18" s="210"/>
      <c r="GW18" s="210"/>
      <c r="GX18" s="210"/>
      <c r="GY18" s="210"/>
      <c r="GZ18" s="210"/>
      <c r="HA18" s="210"/>
      <c r="HB18" s="210"/>
      <c r="HC18" s="210"/>
      <c r="HD18" s="210"/>
      <c r="HE18" s="210"/>
      <c r="HF18" s="210"/>
      <c r="HG18" s="210"/>
      <c r="HH18" s="210"/>
      <c r="HI18" s="210"/>
      <c r="HJ18" s="210"/>
      <c r="HK18" s="210"/>
      <c r="HL18" s="210"/>
      <c r="HM18" s="210"/>
      <c r="HN18" s="210"/>
      <c r="HO18" s="210"/>
      <c r="HP18" s="210"/>
      <c r="HQ18" s="210"/>
      <c r="HR18" s="210"/>
      <c r="HS18" s="210"/>
      <c r="HT18" s="210"/>
      <c r="HU18" s="210"/>
      <c r="HV18" s="210"/>
      <c r="HW18" s="210"/>
      <c r="HX18" s="210"/>
      <c r="HY18" s="210"/>
      <c r="HZ18" s="210"/>
      <c r="IA18" s="210"/>
      <c r="IB18" s="210"/>
      <c r="IC18" s="210"/>
      <c r="ID18" s="210"/>
      <c r="IE18" s="210"/>
      <c r="IF18" s="210"/>
      <c r="IG18" s="210"/>
      <c r="IH18" s="210"/>
      <c r="II18" s="210"/>
      <c r="IJ18" s="210"/>
      <c r="IK18" s="210"/>
      <c r="IL18" s="210"/>
      <c r="IM18" s="210"/>
      <c r="IN18" s="210"/>
      <c r="IO18" s="210"/>
      <c r="IP18" s="210"/>
      <c r="IQ18" s="210"/>
      <c r="IR18" s="210"/>
      <c r="IS18" s="210"/>
    </row>
    <row r="19" spans="1:253" ht="36.75" customHeight="1">
      <c r="A19" s="344"/>
      <c r="B19" s="1965"/>
      <c r="C19" s="241" t="s">
        <v>1172</v>
      </c>
      <c r="D19" s="566">
        <f>説明書!G75</f>
        <v>10201.635</v>
      </c>
      <c r="E19" s="566"/>
      <c r="F19" s="567">
        <f>D19/D$21*100</f>
        <v>4.4366210290992067E-2</v>
      </c>
      <c r="G19" s="568"/>
      <c r="H19" s="210"/>
      <c r="I19" s="210"/>
      <c r="J19" s="210"/>
      <c r="K19" s="210"/>
      <c r="L19" s="210"/>
      <c r="M19" s="210"/>
      <c r="N19" s="210"/>
      <c r="O19" s="210"/>
      <c r="P19" s="210"/>
      <c r="Q19" s="210"/>
      <c r="R19" s="210"/>
      <c r="S19" s="210"/>
      <c r="T19" s="210"/>
      <c r="U19" s="210"/>
      <c r="V19" s="210"/>
      <c r="W19" s="210"/>
      <c r="X19" s="210"/>
      <c r="Y19" s="210"/>
      <c r="Z19" s="210"/>
      <c r="AA19" s="210"/>
      <c r="AB19" s="210"/>
      <c r="AC19" s="210"/>
      <c r="AD19" s="210"/>
      <c r="AE19" s="210"/>
      <c r="AF19" s="210"/>
      <c r="AG19" s="210"/>
      <c r="AH19" s="210"/>
      <c r="AI19" s="210"/>
      <c r="AJ19" s="210"/>
      <c r="AK19" s="210"/>
      <c r="AL19" s="210"/>
      <c r="AM19" s="210"/>
      <c r="AN19" s="210"/>
      <c r="AO19" s="210"/>
      <c r="AP19" s="210"/>
      <c r="AQ19" s="210"/>
      <c r="AR19" s="210"/>
      <c r="AS19" s="210"/>
      <c r="AT19" s="210"/>
      <c r="AU19" s="210"/>
      <c r="AV19" s="210"/>
      <c r="AW19" s="210"/>
      <c r="AX19" s="210"/>
      <c r="AY19" s="210"/>
      <c r="AZ19" s="210"/>
      <c r="BA19" s="210"/>
      <c r="BB19" s="210"/>
      <c r="BC19" s="210"/>
      <c r="BD19" s="210"/>
      <c r="BE19" s="210"/>
      <c r="BF19" s="210"/>
      <c r="BG19" s="210"/>
      <c r="BH19" s="210"/>
      <c r="BI19" s="210"/>
      <c r="BJ19" s="210"/>
      <c r="BK19" s="210"/>
      <c r="BL19" s="210"/>
      <c r="BM19" s="210"/>
      <c r="BN19" s="210"/>
      <c r="BO19" s="210"/>
      <c r="BP19" s="210"/>
      <c r="BQ19" s="210"/>
      <c r="BR19" s="210"/>
      <c r="BS19" s="210"/>
      <c r="BT19" s="210"/>
      <c r="BU19" s="210"/>
      <c r="BV19" s="210"/>
      <c r="BW19" s="210"/>
      <c r="BX19" s="210"/>
      <c r="BY19" s="210"/>
      <c r="BZ19" s="210"/>
      <c r="CA19" s="210"/>
      <c r="CB19" s="210"/>
      <c r="CC19" s="210"/>
      <c r="CD19" s="210"/>
      <c r="CE19" s="210"/>
      <c r="CF19" s="210"/>
      <c r="CG19" s="210"/>
      <c r="CH19" s="210"/>
      <c r="CI19" s="210"/>
      <c r="CJ19" s="210"/>
      <c r="CK19" s="210"/>
      <c r="CL19" s="210"/>
      <c r="CM19" s="210"/>
      <c r="CN19" s="210"/>
      <c r="CO19" s="210"/>
      <c r="CP19" s="210"/>
      <c r="CQ19" s="210"/>
      <c r="CR19" s="210"/>
      <c r="CS19" s="210"/>
      <c r="CT19" s="210"/>
      <c r="CU19" s="210"/>
      <c r="CV19" s="210"/>
      <c r="CW19" s="210"/>
      <c r="CX19" s="210"/>
      <c r="CY19" s="210"/>
      <c r="CZ19" s="210"/>
      <c r="DA19" s="210"/>
      <c r="DB19" s="210"/>
      <c r="DC19" s="210"/>
      <c r="DD19" s="210"/>
      <c r="DE19" s="210"/>
      <c r="DF19" s="210"/>
      <c r="DG19" s="210"/>
      <c r="DH19" s="210"/>
      <c r="DI19" s="210"/>
      <c r="DJ19" s="210"/>
      <c r="DK19" s="210"/>
      <c r="DL19" s="210"/>
      <c r="DM19" s="210"/>
      <c r="DN19" s="210"/>
      <c r="DO19" s="210"/>
      <c r="DP19" s="210"/>
      <c r="DQ19" s="210"/>
      <c r="DR19" s="210"/>
      <c r="DS19" s="210"/>
      <c r="DT19" s="210"/>
      <c r="DU19" s="210"/>
      <c r="DV19" s="210"/>
      <c r="DW19" s="210"/>
      <c r="DX19" s="210"/>
      <c r="DY19" s="210"/>
      <c r="DZ19" s="210"/>
      <c r="EA19" s="210"/>
      <c r="EB19" s="210"/>
      <c r="EC19" s="210"/>
      <c r="ED19" s="210"/>
      <c r="EE19" s="210"/>
      <c r="EF19" s="210"/>
      <c r="EG19" s="210"/>
      <c r="EH19" s="210"/>
      <c r="EI19" s="210"/>
      <c r="EJ19" s="210"/>
      <c r="EK19" s="210"/>
      <c r="EL19" s="210"/>
      <c r="EM19" s="210"/>
      <c r="EN19" s="210"/>
      <c r="EO19" s="210"/>
      <c r="EP19" s="210"/>
      <c r="EQ19" s="210"/>
      <c r="ER19" s="210"/>
      <c r="ES19" s="210"/>
      <c r="ET19" s="210"/>
      <c r="EU19" s="210"/>
      <c r="EV19" s="210"/>
      <c r="EW19" s="210"/>
      <c r="EX19" s="210"/>
      <c r="EY19" s="210"/>
      <c r="EZ19" s="210"/>
      <c r="FA19" s="210"/>
      <c r="FB19" s="210"/>
      <c r="FC19" s="210"/>
      <c r="FD19" s="210"/>
      <c r="FE19" s="210"/>
      <c r="FF19" s="210"/>
      <c r="FG19" s="210"/>
      <c r="FH19" s="210"/>
      <c r="FI19" s="210"/>
      <c r="FJ19" s="210"/>
      <c r="FK19" s="210"/>
      <c r="FL19" s="210"/>
      <c r="FM19" s="210"/>
      <c r="FN19" s="210"/>
      <c r="FO19" s="210"/>
      <c r="FP19" s="210"/>
      <c r="FQ19" s="210"/>
      <c r="FR19" s="210"/>
      <c r="FS19" s="210"/>
      <c r="FT19" s="210"/>
      <c r="FU19" s="210"/>
      <c r="FV19" s="210"/>
      <c r="FW19" s="210"/>
      <c r="FX19" s="210"/>
      <c r="FY19" s="210"/>
      <c r="FZ19" s="210"/>
      <c r="GA19" s="210"/>
      <c r="GB19" s="210"/>
      <c r="GC19" s="210"/>
      <c r="GD19" s="210"/>
      <c r="GE19" s="210"/>
      <c r="GF19" s="210"/>
      <c r="GG19" s="210"/>
      <c r="GH19" s="210"/>
      <c r="GI19" s="210"/>
      <c r="GJ19" s="210"/>
      <c r="GK19" s="210"/>
      <c r="GL19" s="210"/>
      <c r="GM19" s="210"/>
      <c r="GN19" s="210"/>
      <c r="GO19" s="210"/>
      <c r="GP19" s="210"/>
      <c r="GQ19" s="210"/>
      <c r="GR19" s="210"/>
      <c r="GS19" s="210"/>
      <c r="GT19" s="210"/>
      <c r="GU19" s="210"/>
      <c r="GV19" s="210"/>
      <c r="GW19" s="210"/>
      <c r="GX19" s="210"/>
      <c r="GY19" s="210"/>
      <c r="GZ19" s="210"/>
      <c r="HA19" s="210"/>
      <c r="HB19" s="210"/>
      <c r="HC19" s="210"/>
      <c r="HD19" s="210"/>
      <c r="HE19" s="210"/>
      <c r="HF19" s="210"/>
      <c r="HG19" s="210"/>
      <c r="HH19" s="210"/>
      <c r="HI19" s="210"/>
      <c r="HJ19" s="210"/>
      <c r="HK19" s="210"/>
      <c r="HL19" s="210"/>
      <c r="HM19" s="210"/>
      <c r="HN19" s="210"/>
      <c r="HO19" s="210"/>
      <c r="HP19" s="210"/>
      <c r="HQ19" s="210"/>
      <c r="HR19" s="210"/>
      <c r="HS19" s="210"/>
      <c r="HT19" s="210"/>
      <c r="HU19" s="210"/>
      <c r="HV19" s="210"/>
      <c r="HW19" s="210"/>
      <c r="HX19" s="210"/>
      <c r="HY19" s="210"/>
      <c r="HZ19" s="210"/>
      <c r="IA19" s="210"/>
      <c r="IB19" s="210"/>
      <c r="IC19" s="210"/>
      <c r="ID19" s="210"/>
      <c r="IE19" s="210"/>
      <c r="IF19" s="210"/>
      <c r="IG19" s="210"/>
      <c r="IH19" s="210"/>
      <c r="II19" s="210"/>
      <c r="IJ19" s="210"/>
      <c r="IK19" s="210"/>
      <c r="IL19" s="210"/>
      <c r="IM19" s="210"/>
      <c r="IN19" s="210"/>
      <c r="IO19" s="210"/>
      <c r="IP19" s="210"/>
      <c r="IQ19" s="210"/>
      <c r="IR19" s="210"/>
      <c r="IS19" s="210"/>
    </row>
    <row r="20" spans="1:253" ht="36.75" customHeight="1">
      <c r="A20" s="345"/>
      <c r="B20" s="1964"/>
      <c r="C20" s="242" t="s">
        <v>709</v>
      </c>
      <c r="D20" s="566">
        <f>説明書!G79</f>
        <v>6933</v>
      </c>
      <c r="E20" s="566"/>
      <c r="F20" s="567">
        <f t="shared" si="0"/>
        <v>3.0151141061942326E-2</v>
      </c>
      <c r="G20" s="568"/>
      <c r="H20" s="210"/>
      <c r="I20" s="210"/>
      <c r="J20" s="210"/>
      <c r="K20" s="210"/>
      <c r="L20" s="210"/>
      <c r="M20" s="210"/>
      <c r="N20" s="210"/>
      <c r="O20" s="210"/>
      <c r="P20" s="210"/>
      <c r="Q20" s="210"/>
      <c r="R20" s="210"/>
      <c r="S20" s="210"/>
      <c r="T20" s="210"/>
      <c r="U20" s="210"/>
      <c r="V20" s="210"/>
      <c r="W20" s="210"/>
      <c r="X20" s="210"/>
      <c r="Y20" s="210"/>
      <c r="Z20" s="210"/>
      <c r="AA20" s="210"/>
      <c r="AB20" s="210"/>
      <c r="AC20" s="210"/>
      <c r="AD20" s="210"/>
      <c r="AE20" s="210"/>
      <c r="AF20" s="210"/>
      <c r="AG20" s="210"/>
      <c r="AH20" s="210"/>
      <c r="AI20" s="210"/>
      <c r="AJ20" s="210"/>
      <c r="AK20" s="210"/>
      <c r="AL20" s="210"/>
      <c r="AM20" s="210"/>
      <c r="AN20" s="210"/>
      <c r="AO20" s="210"/>
      <c r="AP20" s="210"/>
      <c r="AQ20" s="210"/>
      <c r="AR20" s="210"/>
      <c r="AS20" s="210"/>
      <c r="AT20" s="210"/>
      <c r="AU20" s="210"/>
      <c r="AV20" s="210"/>
      <c r="AW20" s="210"/>
      <c r="AX20" s="210"/>
      <c r="AY20" s="210"/>
      <c r="AZ20" s="210"/>
      <c r="BA20" s="210"/>
      <c r="BB20" s="210"/>
      <c r="BC20" s="210"/>
      <c r="BD20" s="210"/>
      <c r="BE20" s="210"/>
      <c r="BF20" s="210"/>
      <c r="BG20" s="210"/>
      <c r="BH20" s="210"/>
      <c r="BI20" s="210"/>
      <c r="BJ20" s="210"/>
      <c r="BK20" s="210"/>
      <c r="BL20" s="210"/>
      <c r="BM20" s="210"/>
      <c r="BN20" s="210"/>
      <c r="BO20" s="210"/>
      <c r="BP20" s="210"/>
      <c r="BQ20" s="210"/>
      <c r="BR20" s="210"/>
      <c r="BS20" s="210"/>
      <c r="BT20" s="210"/>
      <c r="BU20" s="210"/>
      <c r="BV20" s="210"/>
      <c r="BW20" s="210"/>
      <c r="BX20" s="210"/>
      <c r="BY20" s="210"/>
      <c r="BZ20" s="210"/>
      <c r="CA20" s="210"/>
      <c r="CB20" s="210"/>
      <c r="CC20" s="210"/>
      <c r="CD20" s="210"/>
      <c r="CE20" s="210"/>
      <c r="CF20" s="210"/>
      <c r="CG20" s="210"/>
      <c r="CH20" s="210"/>
      <c r="CI20" s="210"/>
      <c r="CJ20" s="210"/>
      <c r="CK20" s="210"/>
      <c r="CL20" s="210"/>
      <c r="CM20" s="210"/>
      <c r="CN20" s="210"/>
      <c r="CO20" s="210"/>
      <c r="CP20" s="210"/>
      <c r="CQ20" s="210"/>
      <c r="CR20" s="210"/>
      <c r="CS20" s="210"/>
      <c r="CT20" s="210"/>
      <c r="CU20" s="210"/>
      <c r="CV20" s="210"/>
      <c r="CW20" s="210"/>
      <c r="CX20" s="210"/>
      <c r="CY20" s="210"/>
      <c r="CZ20" s="210"/>
      <c r="DA20" s="210"/>
      <c r="DB20" s="210"/>
      <c r="DC20" s="210"/>
      <c r="DD20" s="210"/>
      <c r="DE20" s="210"/>
      <c r="DF20" s="210"/>
      <c r="DG20" s="210"/>
      <c r="DH20" s="210"/>
      <c r="DI20" s="210"/>
      <c r="DJ20" s="210"/>
      <c r="DK20" s="210"/>
      <c r="DL20" s="210"/>
      <c r="DM20" s="210"/>
      <c r="DN20" s="210"/>
      <c r="DO20" s="210"/>
      <c r="DP20" s="210"/>
      <c r="DQ20" s="210"/>
      <c r="DR20" s="210"/>
      <c r="DS20" s="210"/>
      <c r="DT20" s="210"/>
      <c r="DU20" s="210"/>
      <c r="DV20" s="210"/>
      <c r="DW20" s="210"/>
      <c r="DX20" s="210"/>
      <c r="DY20" s="210"/>
      <c r="DZ20" s="210"/>
      <c r="EA20" s="210"/>
      <c r="EB20" s="210"/>
      <c r="EC20" s="210"/>
      <c r="ED20" s="210"/>
      <c r="EE20" s="210"/>
      <c r="EF20" s="210"/>
      <c r="EG20" s="210"/>
      <c r="EH20" s="210"/>
      <c r="EI20" s="210"/>
      <c r="EJ20" s="210"/>
      <c r="EK20" s="210"/>
      <c r="EL20" s="210"/>
      <c r="EM20" s="210"/>
      <c r="EN20" s="210"/>
      <c r="EO20" s="210"/>
      <c r="EP20" s="210"/>
      <c r="EQ20" s="210"/>
      <c r="ER20" s="210"/>
      <c r="ES20" s="210"/>
      <c r="ET20" s="210"/>
      <c r="EU20" s="210"/>
      <c r="EV20" s="210"/>
      <c r="EW20" s="210"/>
      <c r="EX20" s="210"/>
      <c r="EY20" s="210"/>
      <c r="EZ20" s="210"/>
      <c r="FA20" s="210"/>
      <c r="FB20" s="210"/>
      <c r="FC20" s="210"/>
      <c r="FD20" s="210"/>
      <c r="FE20" s="210"/>
      <c r="FF20" s="210"/>
      <c r="FG20" s="210"/>
      <c r="FH20" s="210"/>
      <c r="FI20" s="210"/>
      <c r="FJ20" s="210"/>
      <c r="FK20" s="210"/>
      <c r="FL20" s="210"/>
      <c r="FM20" s="210"/>
      <c r="FN20" s="210"/>
      <c r="FO20" s="210"/>
      <c r="FP20" s="210"/>
      <c r="FQ20" s="210"/>
      <c r="FR20" s="210"/>
      <c r="FS20" s="210"/>
      <c r="FT20" s="210"/>
      <c r="FU20" s="210"/>
      <c r="FV20" s="210"/>
      <c r="FW20" s="210"/>
      <c r="FX20" s="210"/>
      <c r="FY20" s="210"/>
      <c r="FZ20" s="210"/>
      <c r="GA20" s="210"/>
      <c r="GB20" s="210"/>
      <c r="GC20" s="210"/>
      <c r="GD20" s="210"/>
      <c r="GE20" s="210"/>
      <c r="GF20" s="210"/>
      <c r="GG20" s="210"/>
      <c r="GH20" s="210"/>
      <c r="GI20" s="210"/>
      <c r="GJ20" s="210"/>
      <c r="GK20" s="210"/>
      <c r="GL20" s="210"/>
      <c r="GM20" s="210"/>
      <c r="GN20" s="210"/>
      <c r="GO20" s="210"/>
      <c r="GP20" s="210"/>
      <c r="GQ20" s="210"/>
      <c r="GR20" s="210"/>
      <c r="GS20" s="210"/>
      <c r="GT20" s="210"/>
      <c r="GU20" s="210"/>
      <c r="GV20" s="210"/>
      <c r="GW20" s="210"/>
      <c r="GX20" s="210"/>
      <c r="GY20" s="210"/>
      <c r="GZ20" s="210"/>
      <c r="HA20" s="210"/>
      <c r="HB20" s="210"/>
      <c r="HC20" s="210"/>
      <c r="HD20" s="210"/>
      <c r="HE20" s="210"/>
      <c r="HF20" s="210"/>
      <c r="HG20" s="210"/>
      <c r="HH20" s="210"/>
      <c r="HI20" s="210"/>
      <c r="HJ20" s="210"/>
      <c r="HK20" s="210"/>
      <c r="HL20" s="210"/>
      <c r="HM20" s="210"/>
      <c r="HN20" s="210"/>
      <c r="HO20" s="210"/>
      <c r="HP20" s="210"/>
      <c r="HQ20" s="210"/>
      <c r="HR20" s="210"/>
      <c r="HS20" s="210"/>
      <c r="HT20" s="210"/>
      <c r="HU20" s="210"/>
      <c r="HV20" s="210"/>
      <c r="HW20" s="210"/>
      <c r="HX20" s="210"/>
      <c r="HY20" s="210"/>
      <c r="HZ20" s="210"/>
      <c r="IA20" s="210"/>
      <c r="IB20" s="210"/>
      <c r="IC20" s="210"/>
      <c r="ID20" s="210"/>
      <c r="IE20" s="210"/>
      <c r="IF20" s="210"/>
      <c r="IG20" s="210"/>
      <c r="IH20" s="210"/>
      <c r="II20" s="210"/>
      <c r="IJ20" s="210"/>
      <c r="IK20" s="210"/>
      <c r="IL20" s="210"/>
      <c r="IM20" s="210"/>
      <c r="IN20" s="210"/>
      <c r="IO20" s="210"/>
      <c r="IP20" s="210"/>
      <c r="IQ20" s="210"/>
      <c r="IR20" s="210"/>
      <c r="IS20" s="210"/>
    </row>
    <row r="21" spans="1:253" ht="36.75" customHeight="1" thickBot="1">
      <c r="A21" s="1955" t="s">
        <v>694</v>
      </c>
      <c r="B21" s="1956"/>
      <c r="C21" s="1957"/>
      <c r="D21" s="569">
        <f>SUM(D16:D20)</f>
        <v>22994154.635000002</v>
      </c>
      <c r="E21" s="569"/>
      <c r="F21" s="570">
        <f>D21/D$21*100</f>
        <v>100</v>
      </c>
      <c r="G21" s="571"/>
      <c r="H21" s="210"/>
      <c r="I21" s="1367"/>
      <c r="J21" s="210"/>
      <c r="K21" s="210"/>
      <c r="L21" s="210"/>
      <c r="M21" s="210"/>
      <c r="N21" s="210"/>
      <c r="O21" s="210"/>
      <c r="P21" s="210"/>
      <c r="Q21" s="210"/>
      <c r="R21" s="210"/>
      <c r="S21" s="210"/>
      <c r="T21" s="210"/>
      <c r="U21" s="210"/>
      <c r="V21" s="210"/>
      <c r="W21" s="210"/>
      <c r="X21" s="210"/>
      <c r="Y21" s="210"/>
      <c r="Z21" s="210"/>
      <c r="AA21" s="210"/>
      <c r="AB21" s="210"/>
      <c r="AC21" s="210"/>
      <c r="AD21" s="210"/>
      <c r="AE21" s="210"/>
      <c r="AF21" s="210"/>
      <c r="AG21" s="210"/>
      <c r="AH21" s="210"/>
      <c r="AI21" s="210"/>
      <c r="AJ21" s="210"/>
      <c r="AK21" s="210"/>
      <c r="AL21" s="210"/>
      <c r="AM21" s="210"/>
      <c r="AN21" s="210"/>
      <c r="AO21" s="210"/>
      <c r="AP21" s="210"/>
      <c r="AQ21" s="210"/>
      <c r="AR21" s="210"/>
      <c r="AS21" s="210"/>
      <c r="AT21" s="210"/>
      <c r="AU21" s="210"/>
      <c r="AV21" s="210"/>
      <c r="AW21" s="210"/>
      <c r="AX21" s="210"/>
      <c r="AY21" s="210"/>
      <c r="AZ21" s="210"/>
      <c r="BA21" s="210"/>
      <c r="BB21" s="210"/>
      <c r="BC21" s="210"/>
      <c r="BD21" s="210"/>
      <c r="BE21" s="210"/>
      <c r="BF21" s="210"/>
      <c r="BG21" s="210"/>
      <c r="BH21" s="210"/>
      <c r="BI21" s="210"/>
      <c r="BJ21" s="210"/>
      <c r="BK21" s="210"/>
      <c r="BL21" s="210"/>
      <c r="BM21" s="210"/>
      <c r="BN21" s="210"/>
      <c r="BO21" s="210"/>
      <c r="BP21" s="210"/>
      <c r="BQ21" s="210"/>
      <c r="BR21" s="210"/>
      <c r="BS21" s="210"/>
      <c r="BT21" s="210"/>
      <c r="BU21" s="210"/>
      <c r="BV21" s="210"/>
      <c r="BW21" s="210"/>
      <c r="BX21" s="210"/>
      <c r="BY21" s="210"/>
      <c r="BZ21" s="210"/>
      <c r="CA21" s="210"/>
      <c r="CB21" s="210"/>
      <c r="CC21" s="210"/>
      <c r="CD21" s="210"/>
      <c r="CE21" s="210"/>
      <c r="CF21" s="210"/>
      <c r="CG21" s="210"/>
      <c r="CH21" s="210"/>
      <c r="CI21" s="210"/>
      <c r="CJ21" s="210"/>
      <c r="CK21" s="210"/>
      <c r="CL21" s="210"/>
      <c r="CM21" s="210"/>
      <c r="CN21" s="210"/>
      <c r="CO21" s="210"/>
      <c r="CP21" s="210"/>
      <c r="CQ21" s="210"/>
      <c r="CR21" s="210"/>
      <c r="CS21" s="210"/>
      <c r="CT21" s="210"/>
      <c r="CU21" s="210"/>
      <c r="CV21" s="210"/>
      <c r="CW21" s="210"/>
      <c r="CX21" s="210"/>
      <c r="CY21" s="210"/>
      <c r="CZ21" s="210"/>
      <c r="DA21" s="210"/>
      <c r="DB21" s="210"/>
      <c r="DC21" s="210"/>
      <c r="DD21" s="210"/>
      <c r="DE21" s="210"/>
      <c r="DF21" s="210"/>
      <c r="DG21" s="210"/>
      <c r="DH21" s="210"/>
      <c r="DI21" s="210"/>
      <c r="DJ21" s="210"/>
      <c r="DK21" s="210"/>
      <c r="DL21" s="210"/>
      <c r="DM21" s="210"/>
      <c r="DN21" s="210"/>
      <c r="DO21" s="210"/>
      <c r="DP21" s="210"/>
      <c r="DQ21" s="210"/>
      <c r="DR21" s="210"/>
      <c r="DS21" s="210"/>
      <c r="DT21" s="210"/>
      <c r="DU21" s="210"/>
      <c r="DV21" s="210"/>
      <c r="DW21" s="210"/>
      <c r="DX21" s="210"/>
      <c r="DY21" s="210"/>
      <c r="DZ21" s="210"/>
      <c r="EA21" s="210"/>
      <c r="EB21" s="210"/>
      <c r="EC21" s="210"/>
      <c r="ED21" s="210"/>
      <c r="EE21" s="210"/>
      <c r="EF21" s="210"/>
      <c r="EG21" s="210"/>
      <c r="EH21" s="210"/>
      <c r="EI21" s="210"/>
      <c r="EJ21" s="210"/>
      <c r="EK21" s="210"/>
      <c r="EL21" s="210"/>
      <c r="EM21" s="210"/>
      <c r="EN21" s="210"/>
      <c r="EO21" s="210"/>
      <c r="EP21" s="210"/>
      <c r="EQ21" s="210"/>
      <c r="ER21" s="210"/>
      <c r="ES21" s="210"/>
      <c r="ET21" s="210"/>
      <c r="EU21" s="210"/>
      <c r="EV21" s="210"/>
      <c r="EW21" s="210"/>
      <c r="EX21" s="210"/>
      <c r="EY21" s="210"/>
      <c r="EZ21" s="210"/>
      <c r="FA21" s="210"/>
      <c r="FB21" s="210"/>
      <c r="FC21" s="210"/>
      <c r="FD21" s="210"/>
      <c r="FE21" s="210"/>
      <c r="FF21" s="210"/>
      <c r="FG21" s="210"/>
      <c r="FH21" s="210"/>
      <c r="FI21" s="210"/>
      <c r="FJ21" s="210"/>
      <c r="FK21" s="210"/>
      <c r="FL21" s="210"/>
      <c r="FM21" s="210"/>
      <c r="FN21" s="210"/>
      <c r="FO21" s="210"/>
      <c r="FP21" s="210"/>
      <c r="FQ21" s="210"/>
      <c r="FR21" s="210"/>
      <c r="FS21" s="210"/>
      <c r="FT21" s="210"/>
      <c r="FU21" s="210"/>
      <c r="FV21" s="210"/>
      <c r="FW21" s="210"/>
      <c r="FX21" s="210"/>
      <c r="FY21" s="210"/>
      <c r="FZ21" s="210"/>
      <c r="GA21" s="210"/>
      <c r="GB21" s="210"/>
      <c r="GC21" s="210"/>
      <c r="GD21" s="210"/>
      <c r="GE21" s="210"/>
      <c r="GF21" s="210"/>
      <c r="GG21" s="210"/>
      <c r="GH21" s="210"/>
      <c r="GI21" s="210"/>
      <c r="GJ21" s="210"/>
      <c r="GK21" s="210"/>
      <c r="GL21" s="210"/>
      <c r="GM21" s="210"/>
      <c r="GN21" s="210"/>
      <c r="GO21" s="210"/>
      <c r="GP21" s="210"/>
      <c r="GQ21" s="210"/>
      <c r="GR21" s="210"/>
      <c r="GS21" s="210"/>
      <c r="GT21" s="210"/>
      <c r="GU21" s="210"/>
      <c r="GV21" s="210"/>
      <c r="GW21" s="210"/>
      <c r="GX21" s="210"/>
      <c r="GY21" s="210"/>
      <c r="GZ21" s="210"/>
      <c r="HA21" s="210"/>
      <c r="HB21" s="210"/>
      <c r="HC21" s="210"/>
      <c r="HD21" s="210"/>
      <c r="HE21" s="210"/>
      <c r="HF21" s="210"/>
      <c r="HG21" s="210"/>
      <c r="HH21" s="210"/>
      <c r="HI21" s="210"/>
      <c r="HJ21" s="210"/>
      <c r="HK21" s="210"/>
      <c r="HL21" s="210"/>
      <c r="HM21" s="210"/>
      <c r="HN21" s="210"/>
      <c r="HO21" s="210"/>
      <c r="HP21" s="210"/>
      <c r="HQ21" s="210"/>
      <c r="HR21" s="210"/>
      <c r="HS21" s="210"/>
      <c r="HT21" s="210"/>
      <c r="HU21" s="210"/>
      <c r="HV21" s="210"/>
      <c r="HW21" s="210"/>
      <c r="HX21" s="210"/>
      <c r="HY21" s="210"/>
      <c r="HZ21" s="210"/>
      <c r="IA21" s="210"/>
      <c r="IB21" s="210"/>
      <c r="IC21" s="210"/>
      <c r="ID21" s="210"/>
      <c r="IE21" s="210"/>
      <c r="IF21" s="210"/>
      <c r="IG21" s="210"/>
      <c r="IH21" s="210"/>
      <c r="II21" s="210"/>
      <c r="IJ21" s="210"/>
      <c r="IK21" s="210"/>
      <c r="IL21" s="210"/>
      <c r="IM21" s="210"/>
      <c r="IN21" s="210"/>
      <c r="IO21" s="210"/>
      <c r="IP21" s="210"/>
      <c r="IQ21" s="210"/>
      <c r="IR21" s="210"/>
      <c r="IS21" s="210"/>
    </row>
    <row r="22" spans="1:253" ht="36.75" customHeight="1" thickBot="1">
      <c r="A22" s="243"/>
      <c r="B22" s="243"/>
      <c r="C22" s="243"/>
      <c r="D22" s="244"/>
      <c r="E22" s="244"/>
      <c r="F22" s="244"/>
      <c r="G22" s="243"/>
      <c r="H22" s="210"/>
      <c r="I22" s="210"/>
      <c r="J22" s="210"/>
      <c r="K22" s="210"/>
      <c r="L22" s="210"/>
      <c r="M22" s="210"/>
      <c r="N22" s="210"/>
      <c r="O22" s="210"/>
      <c r="P22" s="210"/>
      <c r="Q22" s="210"/>
      <c r="R22" s="210"/>
      <c r="S22" s="210"/>
      <c r="T22" s="210"/>
      <c r="U22" s="210"/>
      <c r="V22" s="210"/>
      <c r="W22" s="210"/>
      <c r="X22" s="210"/>
      <c r="Y22" s="210"/>
      <c r="Z22" s="210"/>
      <c r="AA22" s="210"/>
      <c r="AB22" s="210"/>
      <c r="AC22" s="210"/>
      <c r="AD22" s="210"/>
      <c r="AE22" s="210"/>
      <c r="AF22" s="210"/>
      <c r="AG22" s="210"/>
      <c r="AH22" s="210"/>
      <c r="AI22" s="210"/>
      <c r="AJ22" s="210"/>
      <c r="AK22" s="210"/>
      <c r="AL22" s="210"/>
      <c r="AM22" s="210"/>
      <c r="AN22" s="210"/>
      <c r="AO22" s="210"/>
      <c r="AP22" s="210"/>
      <c r="AQ22" s="210"/>
      <c r="AR22" s="210"/>
      <c r="AS22" s="210"/>
      <c r="AT22" s="210"/>
      <c r="AU22" s="210"/>
      <c r="AV22" s="210"/>
      <c r="AW22" s="210"/>
      <c r="AX22" s="210"/>
      <c r="AY22" s="210"/>
      <c r="AZ22" s="210"/>
      <c r="BA22" s="210"/>
      <c r="BB22" s="210"/>
      <c r="BC22" s="210"/>
      <c r="BD22" s="210"/>
      <c r="BE22" s="210"/>
      <c r="BF22" s="210"/>
      <c r="BG22" s="210"/>
      <c r="BH22" s="210"/>
      <c r="BI22" s="210"/>
      <c r="BJ22" s="210"/>
      <c r="BK22" s="210"/>
      <c r="BL22" s="210"/>
      <c r="BM22" s="210"/>
      <c r="BN22" s="210"/>
      <c r="BO22" s="210"/>
      <c r="BP22" s="210"/>
      <c r="BQ22" s="210"/>
      <c r="BR22" s="210"/>
      <c r="BS22" s="210"/>
      <c r="BT22" s="210"/>
      <c r="BU22" s="210"/>
      <c r="BV22" s="210"/>
      <c r="BW22" s="210"/>
      <c r="BX22" s="210"/>
      <c r="BY22" s="210"/>
      <c r="BZ22" s="210"/>
      <c r="CA22" s="210"/>
      <c r="CB22" s="210"/>
      <c r="CC22" s="210"/>
      <c r="CD22" s="210"/>
      <c r="CE22" s="210"/>
      <c r="CF22" s="210"/>
      <c r="CG22" s="210"/>
      <c r="CH22" s="210"/>
      <c r="CI22" s="210"/>
      <c r="CJ22" s="210"/>
      <c r="CK22" s="210"/>
      <c r="CL22" s="210"/>
      <c r="CM22" s="210"/>
      <c r="CN22" s="210"/>
      <c r="CO22" s="210"/>
      <c r="CP22" s="210"/>
      <c r="CQ22" s="210"/>
      <c r="CR22" s="210"/>
      <c r="CS22" s="210"/>
      <c r="CT22" s="210"/>
      <c r="CU22" s="210"/>
      <c r="CV22" s="210"/>
      <c r="CW22" s="210"/>
      <c r="CX22" s="210"/>
      <c r="CY22" s="210"/>
      <c r="CZ22" s="210"/>
      <c r="DA22" s="210"/>
      <c r="DB22" s="210"/>
      <c r="DC22" s="210"/>
      <c r="DD22" s="210"/>
      <c r="DE22" s="210"/>
      <c r="DF22" s="210"/>
      <c r="DG22" s="210"/>
      <c r="DH22" s="210"/>
      <c r="DI22" s="210"/>
      <c r="DJ22" s="210"/>
      <c r="DK22" s="210"/>
      <c r="DL22" s="210"/>
      <c r="DM22" s="210"/>
      <c r="DN22" s="210"/>
      <c r="DO22" s="210"/>
      <c r="DP22" s="210"/>
      <c r="DQ22" s="210"/>
      <c r="DR22" s="210"/>
      <c r="DS22" s="210"/>
      <c r="DT22" s="210"/>
      <c r="DU22" s="210"/>
      <c r="DV22" s="210"/>
      <c r="DW22" s="210"/>
      <c r="DX22" s="210"/>
      <c r="DY22" s="210"/>
      <c r="DZ22" s="210"/>
      <c r="EA22" s="210"/>
      <c r="EB22" s="210"/>
      <c r="EC22" s="210"/>
      <c r="ED22" s="210"/>
      <c r="EE22" s="210"/>
      <c r="EF22" s="210"/>
      <c r="EG22" s="210"/>
      <c r="EH22" s="210"/>
      <c r="EI22" s="210"/>
      <c r="EJ22" s="210"/>
      <c r="EK22" s="210"/>
      <c r="EL22" s="210"/>
      <c r="EM22" s="210"/>
      <c r="EN22" s="210"/>
      <c r="EO22" s="210"/>
      <c r="EP22" s="210"/>
      <c r="EQ22" s="210"/>
      <c r="ER22" s="210"/>
      <c r="ES22" s="210"/>
      <c r="ET22" s="210"/>
      <c r="EU22" s="210"/>
      <c r="EV22" s="210"/>
      <c r="EW22" s="210"/>
      <c r="EX22" s="210"/>
      <c r="EY22" s="210"/>
      <c r="EZ22" s="210"/>
      <c r="FA22" s="210"/>
      <c r="FB22" s="210"/>
      <c r="FC22" s="210"/>
      <c r="FD22" s="210"/>
      <c r="FE22" s="210"/>
      <c r="FF22" s="210"/>
      <c r="FG22" s="210"/>
      <c r="FH22" s="210"/>
      <c r="FI22" s="210"/>
      <c r="FJ22" s="210"/>
      <c r="FK22" s="210"/>
      <c r="FL22" s="210"/>
      <c r="FM22" s="210"/>
      <c r="FN22" s="210"/>
      <c r="FO22" s="210"/>
      <c r="FP22" s="210"/>
      <c r="FQ22" s="210"/>
      <c r="FR22" s="210"/>
      <c r="FS22" s="210"/>
      <c r="FT22" s="210"/>
      <c r="FU22" s="210"/>
      <c r="FV22" s="210"/>
      <c r="FW22" s="210"/>
      <c r="FX22" s="210"/>
      <c r="FY22" s="210"/>
      <c r="FZ22" s="210"/>
      <c r="GA22" s="210"/>
      <c r="GB22" s="210"/>
      <c r="GC22" s="210"/>
      <c r="GD22" s="210"/>
      <c r="GE22" s="210"/>
      <c r="GF22" s="210"/>
      <c r="GG22" s="210"/>
      <c r="GH22" s="210"/>
      <c r="GI22" s="210"/>
      <c r="GJ22" s="210"/>
      <c r="GK22" s="210"/>
      <c r="GL22" s="210"/>
      <c r="GM22" s="210"/>
      <c r="GN22" s="210"/>
      <c r="GO22" s="210"/>
      <c r="GP22" s="210"/>
      <c r="GQ22" s="210"/>
      <c r="GR22" s="210"/>
      <c r="GS22" s="210"/>
      <c r="GT22" s="210"/>
      <c r="GU22" s="210"/>
      <c r="GV22" s="210"/>
      <c r="GW22" s="210"/>
      <c r="GX22" s="210"/>
      <c r="GY22" s="210"/>
      <c r="GZ22" s="210"/>
      <c r="HA22" s="210"/>
      <c r="HB22" s="210"/>
      <c r="HC22" s="210"/>
      <c r="HD22" s="210"/>
      <c r="HE22" s="210"/>
      <c r="HF22" s="210"/>
      <c r="HG22" s="210"/>
      <c r="HH22" s="210"/>
      <c r="HI22" s="210"/>
      <c r="HJ22" s="210"/>
      <c r="HK22" s="210"/>
      <c r="HL22" s="210"/>
      <c r="HM22" s="210"/>
      <c r="HN22" s="210"/>
      <c r="HO22" s="210"/>
      <c r="HP22" s="210"/>
      <c r="HQ22" s="210"/>
      <c r="HR22" s="210"/>
      <c r="HS22" s="210"/>
      <c r="HT22" s="210"/>
      <c r="HU22" s="210"/>
      <c r="HV22" s="210"/>
      <c r="HW22" s="210"/>
      <c r="HX22" s="210"/>
      <c r="HY22" s="210"/>
      <c r="HZ22" s="210"/>
      <c r="IA22" s="210"/>
      <c r="IB22" s="210"/>
      <c r="IC22" s="210"/>
      <c r="ID22" s="210"/>
      <c r="IE22" s="210"/>
      <c r="IF22" s="210"/>
      <c r="IG22" s="210"/>
      <c r="IH22" s="210"/>
      <c r="II22" s="210"/>
      <c r="IJ22" s="210"/>
      <c r="IK22" s="210"/>
      <c r="IL22" s="210"/>
      <c r="IM22" s="210"/>
      <c r="IN22" s="210"/>
      <c r="IO22" s="210"/>
      <c r="IP22" s="210"/>
      <c r="IQ22" s="210"/>
      <c r="IR22" s="210"/>
      <c r="IS22" s="210"/>
    </row>
    <row r="23" spans="1:253" ht="36.75" customHeight="1">
      <c r="A23" s="1952" t="s">
        <v>702</v>
      </c>
      <c r="B23" s="1953"/>
      <c r="C23" s="1954"/>
      <c r="D23" s="572">
        <f>投資額!G6</f>
        <v>38514</v>
      </c>
      <c r="E23" s="643" t="s">
        <v>764</v>
      </c>
      <c r="F23" s="245"/>
      <c r="G23" s="246"/>
      <c r="H23" s="210"/>
      <c r="I23" s="210"/>
      <c r="J23" s="210"/>
      <c r="K23" s="210"/>
      <c r="L23" s="210"/>
      <c r="M23" s="210"/>
      <c r="N23" s="210"/>
      <c r="O23" s="210"/>
      <c r="P23" s="210"/>
      <c r="Q23" s="210"/>
      <c r="R23" s="210"/>
      <c r="S23" s="210"/>
      <c r="T23" s="210"/>
      <c r="U23" s="210"/>
      <c r="V23" s="210"/>
      <c r="W23" s="210"/>
      <c r="X23" s="210"/>
      <c r="Y23" s="210"/>
      <c r="Z23" s="210"/>
      <c r="AA23" s="210"/>
      <c r="AB23" s="210"/>
      <c r="AC23" s="210"/>
      <c r="AD23" s="210"/>
      <c r="AE23" s="210"/>
      <c r="AF23" s="210"/>
      <c r="AG23" s="210"/>
      <c r="AH23" s="210"/>
      <c r="AI23" s="210"/>
      <c r="AJ23" s="210"/>
      <c r="AK23" s="210"/>
      <c r="AL23" s="210"/>
      <c r="AM23" s="210"/>
      <c r="AN23" s="210"/>
      <c r="AO23" s="210"/>
      <c r="AP23" s="210"/>
      <c r="AQ23" s="210"/>
      <c r="AR23" s="210"/>
      <c r="AS23" s="210"/>
      <c r="AT23" s="210"/>
      <c r="AU23" s="210"/>
      <c r="AV23" s="210"/>
      <c r="AW23" s="210"/>
      <c r="AX23" s="210"/>
      <c r="AY23" s="210"/>
      <c r="AZ23" s="210"/>
      <c r="BA23" s="210"/>
      <c r="BB23" s="210"/>
      <c r="BC23" s="210"/>
      <c r="BD23" s="210"/>
      <c r="BE23" s="210"/>
      <c r="BF23" s="210"/>
      <c r="BG23" s="210"/>
      <c r="BH23" s="210"/>
      <c r="BI23" s="210"/>
      <c r="BJ23" s="210"/>
      <c r="BK23" s="210"/>
      <c r="BL23" s="210"/>
      <c r="BM23" s="210"/>
      <c r="BN23" s="210"/>
      <c r="BO23" s="210"/>
      <c r="BP23" s="210"/>
      <c r="BQ23" s="210"/>
      <c r="BR23" s="210"/>
      <c r="BS23" s="210"/>
      <c r="BT23" s="210"/>
      <c r="BU23" s="210"/>
      <c r="BV23" s="210"/>
      <c r="BW23" s="210"/>
      <c r="BX23" s="210"/>
      <c r="BY23" s="210"/>
      <c r="BZ23" s="210"/>
      <c r="CA23" s="210"/>
      <c r="CB23" s="210"/>
      <c r="CC23" s="210"/>
      <c r="CD23" s="210"/>
      <c r="CE23" s="210"/>
      <c r="CF23" s="210"/>
      <c r="CG23" s="210"/>
      <c r="CH23" s="210"/>
      <c r="CI23" s="210"/>
      <c r="CJ23" s="210"/>
      <c r="CK23" s="210"/>
      <c r="CL23" s="210"/>
      <c r="CM23" s="210"/>
      <c r="CN23" s="210"/>
      <c r="CO23" s="210"/>
      <c r="CP23" s="210"/>
      <c r="CQ23" s="210"/>
      <c r="CR23" s="210"/>
      <c r="CS23" s="210"/>
      <c r="CT23" s="210"/>
      <c r="CU23" s="210"/>
      <c r="CV23" s="210"/>
      <c r="CW23" s="210"/>
      <c r="CX23" s="210"/>
      <c r="CY23" s="210"/>
      <c r="CZ23" s="210"/>
      <c r="DA23" s="210"/>
      <c r="DB23" s="210"/>
      <c r="DC23" s="210"/>
      <c r="DD23" s="210"/>
      <c r="DE23" s="210"/>
      <c r="DF23" s="210"/>
      <c r="DG23" s="210"/>
      <c r="DH23" s="210"/>
      <c r="DI23" s="210"/>
      <c r="DJ23" s="210"/>
      <c r="DK23" s="210"/>
      <c r="DL23" s="210"/>
      <c r="DM23" s="210"/>
      <c r="DN23" s="210"/>
      <c r="DO23" s="210"/>
      <c r="DP23" s="210"/>
      <c r="DQ23" s="210"/>
      <c r="DR23" s="210"/>
      <c r="DS23" s="210"/>
      <c r="DT23" s="210"/>
      <c r="DU23" s="210"/>
      <c r="DV23" s="210"/>
      <c r="DW23" s="210"/>
      <c r="DX23" s="210"/>
      <c r="DY23" s="210"/>
      <c r="DZ23" s="210"/>
      <c r="EA23" s="210"/>
      <c r="EB23" s="210"/>
      <c r="EC23" s="210"/>
      <c r="ED23" s="210"/>
      <c r="EE23" s="210"/>
      <c r="EF23" s="210"/>
      <c r="EG23" s="210"/>
      <c r="EH23" s="210"/>
      <c r="EI23" s="210"/>
      <c r="EJ23" s="210"/>
      <c r="EK23" s="210"/>
      <c r="EL23" s="210"/>
      <c r="EM23" s="210"/>
      <c r="EN23" s="210"/>
      <c r="EO23" s="210"/>
      <c r="EP23" s="210"/>
      <c r="EQ23" s="210"/>
      <c r="ER23" s="210"/>
      <c r="ES23" s="210"/>
      <c r="ET23" s="210"/>
      <c r="EU23" s="210"/>
      <c r="EV23" s="210"/>
      <c r="EW23" s="210"/>
      <c r="EX23" s="210"/>
      <c r="EY23" s="210"/>
      <c r="EZ23" s="210"/>
      <c r="FA23" s="210"/>
      <c r="FB23" s="210"/>
      <c r="FC23" s="210"/>
      <c r="FD23" s="210"/>
      <c r="FE23" s="210"/>
      <c r="FF23" s="210"/>
      <c r="FG23" s="210"/>
      <c r="FH23" s="210"/>
      <c r="FI23" s="210"/>
      <c r="FJ23" s="210"/>
      <c r="FK23" s="210"/>
      <c r="FL23" s="210"/>
      <c r="FM23" s="210"/>
      <c r="FN23" s="210"/>
      <c r="FO23" s="210"/>
      <c r="FP23" s="210"/>
      <c r="FQ23" s="210"/>
      <c r="FR23" s="210"/>
      <c r="FS23" s="210"/>
      <c r="FT23" s="210"/>
      <c r="FU23" s="210"/>
      <c r="FV23" s="210"/>
      <c r="FW23" s="210"/>
      <c r="FX23" s="210"/>
      <c r="FY23" s="210"/>
      <c r="FZ23" s="210"/>
      <c r="GA23" s="210"/>
      <c r="GB23" s="210"/>
      <c r="GC23" s="210"/>
      <c r="GD23" s="210"/>
      <c r="GE23" s="210"/>
      <c r="GF23" s="210"/>
      <c r="GG23" s="210"/>
      <c r="GH23" s="210"/>
      <c r="GI23" s="210"/>
      <c r="GJ23" s="210"/>
      <c r="GK23" s="210"/>
      <c r="GL23" s="210"/>
      <c r="GM23" s="210"/>
      <c r="GN23" s="210"/>
      <c r="GO23" s="210"/>
      <c r="GP23" s="210"/>
      <c r="GQ23" s="210"/>
      <c r="GR23" s="210"/>
      <c r="GS23" s="210"/>
      <c r="GT23" s="210"/>
      <c r="GU23" s="210"/>
      <c r="GV23" s="210"/>
      <c r="GW23" s="210"/>
      <c r="GX23" s="210"/>
      <c r="GY23" s="210"/>
      <c r="GZ23" s="210"/>
      <c r="HA23" s="210"/>
      <c r="HB23" s="210"/>
      <c r="HC23" s="210"/>
      <c r="HD23" s="210"/>
      <c r="HE23" s="210"/>
      <c r="HF23" s="210"/>
      <c r="HG23" s="210"/>
      <c r="HH23" s="210"/>
      <c r="HI23" s="210"/>
      <c r="HJ23" s="210"/>
      <c r="HK23" s="210"/>
      <c r="HL23" s="210"/>
      <c r="HM23" s="210"/>
      <c r="HN23" s="210"/>
      <c r="HO23" s="210"/>
      <c r="HP23" s="210"/>
      <c r="HQ23" s="210"/>
      <c r="HR23" s="210"/>
      <c r="HS23" s="210"/>
      <c r="HT23" s="210"/>
      <c r="HU23" s="210"/>
      <c r="HV23" s="210"/>
      <c r="HW23" s="210"/>
      <c r="HX23" s="210"/>
      <c r="HY23" s="210"/>
      <c r="HZ23" s="210"/>
      <c r="IA23" s="210"/>
      <c r="IB23" s="210"/>
      <c r="IC23" s="210"/>
      <c r="ID23" s="210"/>
      <c r="IE23" s="210"/>
      <c r="IF23" s="210"/>
      <c r="IG23" s="210"/>
      <c r="IH23" s="210"/>
      <c r="II23" s="210"/>
      <c r="IJ23" s="210"/>
      <c r="IK23" s="210"/>
      <c r="IL23" s="210"/>
      <c r="IM23" s="210"/>
      <c r="IN23" s="210"/>
      <c r="IO23" s="210"/>
      <c r="IP23" s="210"/>
      <c r="IQ23" s="210"/>
      <c r="IR23" s="210"/>
      <c r="IS23" s="210"/>
    </row>
    <row r="24" spans="1:253" ht="36.75" customHeight="1" thickBot="1">
      <c r="A24" s="1955" t="s">
        <v>74</v>
      </c>
      <c r="B24" s="1956"/>
      <c r="C24" s="1957"/>
      <c r="D24" s="573">
        <f>ROUND(D21/D23,2)</f>
        <v>597.03</v>
      </c>
      <c r="E24" s="644" t="s">
        <v>534</v>
      </c>
      <c r="F24" s="247"/>
      <c r="G24" s="248"/>
      <c r="H24" s="210"/>
      <c r="I24" s="210"/>
      <c r="J24" s="210"/>
      <c r="K24" s="210"/>
      <c r="L24" s="210"/>
      <c r="M24" s="210"/>
      <c r="N24" s="210"/>
      <c r="O24" s="210"/>
      <c r="P24" s="210"/>
      <c r="Q24" s="210"/>
      <c r="R24" s="210"/>
      <c r="S24" s="210"/>
      <c r="T24" s="210"/>
      <c r="U24" s="210"/>
      <c r="V24" s="210"/>
      <c r="W24" s="210"/>
      <c r="X24" s="210"/>
      <c r="Y24" s="210"/>
      <c r="Z24" s="210"/>
      <c r="AA24" s="210"/>
      <c r="AB24" s="210"/>
      <c r="AC24" s="210"/>
      <c r="AD24" s="210"/>
      <c r="AE24" s="210"/>
      <c r="AF24" s="210"/>
      <c r="AG24" s="210"/>
      <c r="AH24" s="210"/>
      <c r="AI24" s="210"/>
      <c r="AJ24" s="210"/>
      <c r="AK24" s="210"/>
      <c r="AL24" s="210"/>
      <c r="AM24" s="210"/>
      <c r="AN24" s="210"/>
      <c r="AO24" s="210"/>
      <c r="AP24" s="210"/>
      <c r="AQ24" s="210"/>
      <c r="AR24" s="210"/>
      <c r="AS24" s="210"/>
      <c r="AT24" s="210"/>
      <c r="AU24" s="210"/>
      <c r="AV24" s="210"/>
      <c r="AW24" s="210"/>
      <c r="AX24" s="210"/>
      <c r="AY24" s="210"/>
      <c r="AZ24" s="210"/>
      <c r="BA24" s="210"/>
      <c r="BB24" s="210"/>
      <c r="BC24" s="210"/>
      <c r="BD24" s="210"/>
      <c r="BE24" s="210"/>
      <c r="BF24" s="210"/>
      <c r="BG24" s="210"/>
      <c r="BH24" s="210"/>
      <c r="BI24" s="210"/>
      <c r="BJ24" s="210"/>
      <c r="BK24" s="210"/>
      <c r="BL24" s="210"/>
      <c r="BM24" s="210"/>
      <c r="BN24" s="210"/>
      <c r="BO24" s="210"/>
      <c r="BP24" s="210"/>
      <c r="BQ24" s="210"/>
      <c r="BR24" s="210"/>
      <c r="BS24" s="210"/>
      <c r="BT24" s="210"/>
      <c r="BU24" s="210"/>
      <c r="BV24" s="210"/>
      <c r="BW24" s="210"/>
      <c r="BX24" s="210"/>
      <c r="BY24" s="210"/>
      <c r="BZ24" s="210"/>
      <c r="CA24" s="210"/>
      <c r="CB24" s="210"/>
      <c r="CC24" s="210"/>
      <c r="CD24" s="210"/>
      <c r="CE24" s="210"/>
      <c r="CF24" s="210"/>
      <c r="CG24" s="210"/>
      <c r="CH24" s="210"/>
      <c r="CI24" s="210"/>
      <c r="CJ24" s="210"/>
      <c r="CK24" s="210"/>
      <c r="CL24" s="210"/>
      <c r="CM24" s="210"/>
      <c r="CN24" s="210"/>
      <c r="CO24" s="210"/>
      <c r="CP24" s="210"/>
      <c r="CQ24" s="210"/>
      <c r="CR24" s="210"/>
      <c r="CS24" s="210"/>
      <c r="CT24" s="210"/>
      <c r="CU24" s="210"/>
      <c r="CV24" s="210"/>
      <c r="CW24" s="210"/>
      <c r="CX24" s="210"/>
      <c r="CY24" s="210"/>
      <c r="CZ24" s="210"/>
      <c r="DA24" s="210"/>
      <c r="DB24" s="210"/>
      <c r="DC24" s="210"/>
      <c r="DD24" s="210"/>
      <c r="DE24" s="210"/>
      <c r="DF24" s="210"/>
      <c r="DG24" s="210"/>
      <c r="DH24" s="210"/>
      <c r="DI24" s="210"/>
      <c r="DJ24" s="210"/>
      <c r="DK24" s="210"/>
      <c r="DL24" s="210"/>
      <c r="DM24" s="210"/>
      <c r="DN24" s="210"/>
      <c r="DO24" s="210"/>
      <c r="DP24" s="210"/>
      <c r="DQ24" s="210"/>
      <c r="DR24" s="210"/>
      <c r="DS24" s="210"/>
      <c r="DT24" s="210"/>
      <c r="DU24" s="210"/>
      <c r="DV24" s="210"/>
      <c r="DW24" s="210"/>
      <c r="DX24" s="210"/>
      <c r="DY24" s="210"/>
      <c r="DZ24" s="210"/>
      <c r="EA24" s="210"/>
      <c r="EB24" s="210"/>
      <c r="EC24" s="210"/>
      <c r="ED24" s="210"/>
      <c r="EE24" s="210"/>
      <c r="EF24" s="210"/>
      <c r="EG24" s="210"/>
      <c r="EH24" s="210"/>
      <c r="EI24" s="210"/>
      <c r="EJ24" s="210"/>
      <c r="EK24" s="210"/>
      <c r="EL24" s="210"/>
      <c r="EM24" s="210"/>
      <c r="EN24" s="210"/>
      <c r="EO24" s="210"/>
      <c r="EP24" s="210"/>
      <c r="EQ24" s="210"/>
      <c r="ER24" s="210"/>
      <c r="ES24" s="210"/>
      <c r="ET24" s="210"/>
      <c r="EU24" s="210"/>
      <c r="EV24" s="210"/>
      <c r="EW24" s="210"/>
      <c r="EX24" s="210"/>
      <c r="EY24" s="210"/>
      <c r="EZ24" s="210"/>
      <c r="FA24" s="210"/>
      <c r="FB24" s="210"/>
      <c r="FC24" s="210"/>
      <c r="FD24" s="210"/>
      <c r="FE24" s="210"/>
      <c r="FF24" s="210"/>
      <c r="FG24" s="210"/>
      <c r="FH24" s="210"/>
      <c r="FI24" s="210"/>
      <c r="FJ24" s="210"/>
      <c r="FK24" s="210"/>
      <c r="FL24" s="210"/>
      <c r="FM24" s="210"/>
      <c r="FN24" s="210"/>
      <c r="FO24" s="210"/>
      <c r="FP24" s="210"/>
      <c r="FQ24" s="210"/>
      <c r="FR24" s="210"/>
      <c r="FS24" s="210"/>
      <c r="FT24" s="210"/>
      <c r="FU24" s="210"/>
      <c r="FV24" s="210"/>
      <c r="FW24" s="210"/>
      <c r="FX24" s="210"/>
      <c r="FY24" s="210"/>
      <c r="FZ24" s="210"/>
      <c r="GA24" s="210"/>
      <c r="GB24" s="210"/>
      <c r="GC24" s="210"/>
      <c r="GD24" s="210"/>
      <c r="GE24" s="210"/>
      <c r="GF24" s="210"/>
      <c r="GG24" s="210"/>
      <c r="GH24" s="210"/>
      <c r="GI24" s="210"/>
      <c r="GJ24" s="210"/>
      <c r="GK24" s="210"/>
      <c r="GL24" s="210"/>
      <c r="GM24" s="210"/>
      <c r="GN24" s="210"/>
      <c r="GO24" s="210"/>
      <c r="GP24" s="210"/>
      <c r="GQ24" s="210"/>
      <c r="GR24" s="210"/>
      <c r="GS24" s="210"/>
      <c r="GT24" s="210"/>
      <c r="GU24" s="210"/>
      <c r="GV24" s="210"/>
      <c r="GW24" s="210"/>
      <c r="GX24" s="210"/>
      <c r="GY24" s="210"/>
      <c r="GZ24" s="210"/>
      <c r="HA24" s="210"/>
      <c r="HB24" s="210"/>
      <c r="HC24" s="210"/>
      <c r="HD24" s="210"/>
      <c r="HE24" s="210"/>
      <c r="HF24" s="210"/>
      <c r="HG24" s="210"/>
      <c r="HH24" s="210"/>
      <c r="HI24" s="210"/>
      <c r="HJ24" s="210"/>
      <c r="HK24" s="210"/>
      <c r="HL24" s="210"/>
      <c r="HM24" s="210"/>
      <c r="HN24" s="210"/>
      <c r="HO24" s="210"/>
      <c r="HP24" s="210"/>
      <c r="HQ24" s="210"/>
      <c r="HR24" s="210"/>
      <c r="HS24" s="210"/>
      <c r="HT24" s="210"/>
      <c r="HU24" s="210"/>
      <c r="HV24" s="210"/>
      <c r="HW24" s="210"/>
      <c r="HX24" s="210"/>
      <c r="HY24" s="210"/>
      <c r="HZ24" s="210"/>
      <c r="IA24" s="210"/>
      <c r="IB24" s="210"/>
      <c r="IC24" s="210"/>
      <c r="ID24" s="210"/>
      <c r="IE24" s="210"/>
      <c r="IF24" s="210"/>
      <c r="IG24" s="210"/>
      <c r="IH24" s="210"/>
      <c r="II24" s="210"/>
      <c r="IJ24" s="210"/>
      <c r="IK24" s="210"/>
      <c r="IL24" s="210"/>
      <c r="IM24" s="210"/>
      <c r="IN24" s="210"/>
      <c r="IO24" s="210"/>
      <c r="IP24" s="210"/>
      <c r="IQ24" s="210"/>
      <c r="IR24" s="210"/>
      <c r="IS24" s="210"/>
    </row>
  </sheetData>
  <mergeCells count="16">
    <mergeCell ref="A4:G4"/>
    <mergeCell ref="B11:B13"/>
    <mergeCell ref="B18:B20"/>
    <mergeCell ref="E7:G7"/>
    <mergeCell ref="B8:C8"/>
    <mergeCell ref="A7:C7"/>
    <mergeCell ref="B9:C9"/>
    <mergeCell ref="B10:C10"/>
    <mergeCell ref="B15:C15"/>
    <mergeCell ref="A23:C23"/>
    <mergeCell ref="A24:C24"/>
    <mergeCell ref="B14:C14"/>
    <mergeCell ref="B16:C16"/>
    <mergeCell ref="B17:C17"/>
    <mergeCell ref="A21:C21"/>
    <mergeCell ref="A10:A17"/>
  </mergeCells>
  <phoneticPr fontId="2"/>
  <printOptions horizontalCentered="1"/>
  <pageMargins left="0.59" right="0.2" top="0.98" bottom="0.39370078740157483" header="0.59" footer="0"/>
  <pageSetup paperSize="9" scale="96" orientation="portrait" horizontalDpi="200" verticalDpi="2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29</vt:i4>
      </vt:variant>
      <vt:variant>
        <vt:lpstr>名前付き一覧</vt:lpstr>
      </vt:variant>
      <vt:variant>
        <vt:i4>28</vt:i4>
      </vt:variant>
    </vt:vector>
  </HeadingPairs>
  <TitlesOfParts>
    <vt:vector size="57" baseType="lpstr">
      <vt:lpstr>基本入力</vt:lpstr>
      <vt:lpstr>約款料金</vt:lpstr>
      <vt:lpstr>販売量ﾃﾞｰﾀ</vt:lpstr>
      <vt:lpstr>設定申請書鑑</vt:lpstr>
      <vt:lpstr>変更申請書鑑（理由書入力あり）</vt:lpstr>
      <vt:lpstr>変更内容（入力あり）</vt:lpstr>
      <vt:lpstr>説明書</vt:lpstr>
      <vt:lpstr>投資額</vt:lpstr>
      <vt:lpstr>総括表</vt:lpstr>
      <vt:lpstr>展開</vt:lpstr>
      <vt:lpstr>料金収入比較</vt:lpstr>
      <vt:lpstr>原料購入単価（入力あり）</vt:lpstr>
      <vt:lpstr>Sheet1</vt:lpstr>
      <vt:lpstr>参考資料</vt:lpstr>
      <vt:lpstr>減価償却</vt:lpstr>
      <vt:lpstr>建物他明細</vt:lpstr>
      <vt:lpstr>課税標準額</vt:lpstr>
      <vt:lpstr>導管明細</vt:lpstr>
      <vt:lpstr>車両明細</vt:lpstr>
      <vt:lpstr>その他経費明細（ﾘｰｽ時のみ）</vt:lpstr>
      <vt:lpstr>料金表(税抜)</vt:lpstr>
      <vt:lpstr>料金表(税込)</vt:lpstr>
      <vt:lpstr>料金表(総額表示対応)</vt:lpstr>
      <vt:lpstr>参考料金（入力あり）</vt:lpstr>
      <vt:lpstr>機能別</vt:lpstr>
      <vt:lpstr>係数</vt:lpstr>
      <vt:lpstr>引下原資整理表（届出上限値方式）</vt:lpstr>
      <vt:lpstr>引下原資整理表（総括原価方式）</vt:lpstr>
      <vt:lpstr>設備設置年表（改訂）</vt:lpstr>
      <vt:lpstr>'その他経費明細（ﾘｰｽ時のみ）'!Print_Area</vt:lpstr>
      <vt:lpstr>'引下原資整理表（総括原価方式）'!Print_Area</vt:lpstr>
      <vt:lpstr>'引下原資整理表（届出上限値方式）'!Print_Area</vt:lpstr>
      <vt:lpstr>課税標準額!Print_Area</vt:lpstr>
      <vt:lpstr>基本入力!Print_Area</vt:lpstr>
      <vt:lpstr>機能別!Print_Area</vt:lpstr>
      <vt:lpstr>係数!Print_Area</vt:lpstr>
      <vt:lpstr>建物他明細!Print_Area</vt:lpstr>
      <vt:lpstr>'原料購入単価（入力あり）'!Print_Area</vt:lpstr>
      <vt:lpstr>減価償却!Print_Area</vt:lpstr>
      <vt:lpstr>参考資料!Print_Area</vt:lpstr>
      <vt:lpstr>'参考料金（入力あり）'!Print_Area</vt:lpstr>
      <vt:lpstr>車両明細!Print_Area</vt:lpstr>
      <vt:lpstr>設定申請書鑑!Print_Area</vt:lpstr>
      <vt:lpstr>'設備設置年表（改訂）'!Print_Area</vt:lpstr>
      <vt:lpstr>説明書!Print_Area</vt:lpstr>
      <vt:lpstr>総括表!Print_Area</vt:lpstr>
      <vt:lpstr>展開!Print_Area</vt:lpstr>
      <vt:lpstr>投資額!Print_Area</vt:lpstr>
      <vt:lpstr>導管明細!Print_Area</vt:lpstr>
      <vt:lpstr>販売量ﾃﾞｰﾀ!Print_Area</vt:lpstr>
      <vt:lpstr>'変更申請書鑑（理由書入力あり）'!Print_Area</vt:lpstr>
      <vt:lpstr>'変更内容（入力あり）'!Print_Area</vt:lpstr>
      <vt:lpstr>約款料金!Print_Area</vt:lpstr>
      <vt:lpstr>'料金表(税込)'!Print_Area</vt:lpstr>
      <vt:lpstr>'料金表(税抜)'!Print_Area</vt:lpstr>
      <vt:lpstr>'料金表(総額表示対応)'!Print_Area</vt:lpstr>
      <vt:lpstr>投資区分</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簡易ガス料金計算ツール</dc:title>
  <dc:creator>社団法人日本簡易ガス協会</dc:creator>
  <cp:lastModifiedBy>kb-macbook</cp:lastModifiedBy>
  <cp:lastPrinted>2019-03-28T23:08:49Z</cp:lastPrinted>
  <dcterms:created xsi:type="dcterms:W3CDTF">1998-01-02T11:47:38Z</dcterms:created>
  <dcterms:modified xsi:type="dcterms:W3CDTF">2020-07-20T09:17:58Z</dcterms:modified>
</cp:coreProperties>
</file>